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2202"/>
  <workbookPr autoCompressPictures="0"/>
  <bookViews>
    <workbookView xWindow="0" yWindow="0" windowWidth="40100" windowHeight="27900"/>
  </bookViews>
  <sheets>
    <sheet name="Input Values" sheetId="4" r:id="rId1"/>
    <sheet name="ICP Analysis Results" sheetId="2" r:id="rId2"/>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4" i="2" l="1"/>
  <c r="O34" i="2"/>
  <c r="L34" i="2"/>
  <c r="K34" i="2"/>
  <c r="B5" i="2"/>
  <c r="C10" i="2"/>
  <c r="C12" i="2"/>
  <c r="C14" i="2"/>
  <c r="C16" i="2"/>
  <c r="C18" i="2"/>
  <c r="C20" i="2"/>
  <c r="C22" i="2"/>
  <c r="C24" i="2"/>
  <c r="C28" i="2"/>
  <c r="C30" i="2"/>
  <c r="C32" i="2"/>
  <c r="C34" i="2"/>
  <c r="C36" i="2"/>
  <c r="C38" i="2"/>
  <c r="C40" i="2"/>
  <c r="C42" i="2"/>
  <c r="C44" i="2"/>
  <c r="C46" i="2"/>
  <c r="C48" i="2"/>
  <c r="C50" i="2"/>
  <c r="C52" i="2"/>
  <c r="C54" i="2"/>
  <c r="C56" i="2"/>
  <c r="C58" i="2"/>
  <c r="C60" i="2"/>
  <c r="C62" i="2"/>
  <c r="C64" i="2"/>
  <c r="C66" i="2"/>
  <c r="C68" i="2"/>
  <c r="C70" i="2"/>
  <c r="C72" i="2"/>
  <c r="C74" i="2"/>
  <c r="C76" i="2"/>
  <c r="C78" i="2"/>
  <c r="C80" i="2"/>
  <c r="C82" i="2"/>
  <c r="C84" i="2"/>
  <c r="C87" i="2"/>
  <c r="G9" i="2"/>
  <c r="F87" i="2"/>
  <c r="G70" i="2"/>
  <c r="H70" i="2"/>
  <c r="N70" i="2"/>
  <c r="O70" i="2"/>
  <c r="G72" i="2"/>
  <c r="H72" i="2"/>
  <c r="N72" i="2"/>
  <c r="O72" i="2"/>
  <c r="G66" i="2"/>
  <c r="H66" i="2"/>
  <c r="N66" i="2"/>
  <c r="O66" i="2"/>
  <c r="G58" i="2"/>
  <c r="H58" i="2"/>
  <c r="N58" i="2"/>
  <c r="O58" i="2"/>
  <c r="G42" i="2"/>
  <c r="H42" i="2"/>
  <c r="N42" i="2"/>
  <c r="O42" i="2"/>
  <c r="G40" i="2"/>
  <c r="H40" i="2"/>
  <c r="N40" i="2"/>
  <c r="O40" i="2"/>
  <c r="G38" i="2"/>
  <c r="H38" i="2"/>
  <c r="N38" i="2"/>
  <c r="O38" i="2"/>
  <c r="G82" i="2"/>
  <c r="H82" i="2"/>
  <c r="N82" i="2"/>
  <c r="O82" i="2"/>
  <c r="G80" i="2"/>
  <c r="H80" i="2"/>
  <c r="N80" i="2"/>
  <c r="O80" i="2"/>
  <c r="G62" i="2"/>
  <c r="H62" i="2"/>
  <c r="N62" i="2"/>
  <c r="O62" i="2"/>
  <c r="G56" i="2"/>
  <c r="H56" i="2"/>
  <c r="N56" i="2"/>
  <c r="O56" i="2"/>
  <c r="G32" i="2"/>
  <c r="H32" i="2"/>
  <c r="N32" i="2"/>
  <c r="O32" i="2"/>
  <c r="G24" i="2"/>
  <c r="H24" i="2"/>
  <c r="N25" i="2"/>
  <c r="O25" i="2"/>
  <c r="N24" i="2"/>
  <c r="O24" i="2"/>
  <c r="G74" i="2"/>
  <c r="H74" i="2"/>
  <c r="N74" i="2"/>
  <c r="O74" i="2"/>
  <c r="G54" i="2"/>
  <c r="H54" i="2"/>
  <c r="N54" i="2"/>
  <c r="O54" i="2"/>
  <c r="G50" i="2"/>
  <c r="H50" i="2"/>
  <c r="N50" i="2"/>
  <c r="O50" i="2"/>
  <c r="G46" i="2"/>
  <c r="H46" i="2"/>
  <c r="N46" i="2"/>
  <c r="O46" i="2"/>
  <c r="G22" i="2"/>
  <c r="H22" i="2"/>
  <c r="N22" i="2"/>
  <c r="G14" i="2"/>
  <c r="H14" i="2"/>
  <c r="N14" i="2"/>
  <c r="O22" i="2"/>
  <c r="K14" i="2"/>
  <c r="K22" i="2"/>
  <c r="O14" i="2"/>
  <c r="G10" i="2"/>
  <c r="F8" i="2"/>
  <c r="F9" i="2"/>
  <c r="B4" i="2"/>
  <c r="B3" i="2"/>
  <c r="B2" i="2"/>
  <c r="L25" i="2"/>
  <c r="K25" i="2"/>
  <c r="I24" i="2"/>
  <c r="I84" i="2"/>
  <c r="L82" i="2"/>
  <c r="K82" i="2"/>
  <c r="I82" i="2"/>
  <c r="L80" i="2"/>
  <c r="K80" i="2"/>
  <c r="I80" i="2"/>
  <c r="G78" i="2"/>
  <c r="H78" i="2"/>
  <c r="I78" i="2"/>
  <c r="G76" i="2"/>
  <c r="H76" i="2"/>
  <c r="I76" i="2"/>
  <c r="L74" i="2"/>
  <c r="K74" i="2"/>
  <c r="I74" i="2"/>
  <c r="L72" i="2"/>
  <c r="K72" i="2"/>
  <c r="I72" i="2"/>
  <c r="L70" i="2"/>
  <c r="K70" i="2"/>
  <c r="I70" i="2"/>
  <c r="G68" i="2"/>
  <c r="H68" i="2"/>
  <c r="I68" i="2"/>
  <c r="L66" i="2"/>
  <c r="K66" i="2"/>
  <c r="I66" i="2"/>
  <c r="G64" i="2"/>
  <c r="H64" i="2"/>
  <c r="I64" i="2"/>
  <c r="L62" i="2"/>
  <c r="K62" i="2"/>
  <c r="I62" i="2"/>
  <c r="G60" i="2"/>
  <c r="H60" i="2"/>
  <c r="I60" i="2"/>
  <c r="L58" i="2"/>
  <c r="K58" i="2"/>
  <c r="I58" i="2"/>
  <c r="L56" i="2"/>
  <c r="K56" i="2"/>
  <c r="I56" i="2"/>
  <c r="L54" i="2"/>
  <c r="K54" i="2"/>
  <c r="I54" i="2"/>
  <c r="G52" i="2"/>
  <c r="H52" i="2"/>
  <c r="I52" i="2"/>
  <c r="L50" i="2"/>
  <c r="K50" i="2"/>
  <c r="I50" i="2"/>
  <c r="G48" i="2"/>
  <c r="H48" i="2"/>
  <c r="I48" i="2"/>
  <c r="L46" i="2"/>
  <c r="K46" i="2"/>
  <c r="I46" i="2"/>
  <c r="G44" i="2"/>
  <c r="H44" i="2"/>
  <c r="I44" i="2"/>
  <c r="L42" i="2"/>
  <c r="K42" i="2"/>
  <c r="I42" i="2"/>
  <c r="L40" i="2"/>
  <c r="K40" i="2"/>
  <c r="I40" i="2"/>
  <c r="L38" i="2"/>
  <c r="K38" i="2"/>
  <c r="I38" i="2"/>
  <c r="G36" i="2"/>
  <c r="H36" i="2"/>
  <c r="I36" i="2"/>
  <c r="G34" i="2"/>
  <c r="H34" i="2"/>
  <c r="I34" i="2"/>
  <c r="L32" i="2"/>
  <c r="K32" i="2"/>
  <c r="I32" i="2"/>
  <c r="G30" i="2"/>
  <c r="H30" i="2"/>
  <c r="I30" i="2"/>
  <c r="G28" i="2"/>
  <c r="H28" i="2"/>
  <c r="I28" i="2"/>
  <c r="L24" i="2"/>
  <c r="K24" i="2"/>
  <c r="L22" i="2"/>
  <c r="I22" i="2"/>
  <c r="G20" i="2"/>
  <c r="H20" i="2"/>
  <c r="I20" i="2"/>
  <c r="G18" i="2"/>
  <c r="H18" i="2"/>
  <c r="I18" i="2"/>
  <c r="G16" i="2"/>
  <c r="H16" i="2"/>
  <c r="I16" i="2"/>
  <c r="L14" i="2"/>
  <c r="I14" i="2"/>
  <c r="G12" i="2"/>
  <c r="H12" i="2"/>
  <c r="I12" i="2"/>
  <c r="G84" i="2"/>
  <c r="H84" i="2"/>
  <c r="G87" i="2"/>
  <c r="G8" i="2"/>
  <c r="H10" i="2"/>
  <c r="I10" i="2"/>
</calcChain>
</file>

<file path=xl/sharedStrings.xml><?xml version="1.0" encoding="utf-8"?>
<sst xmlns="http://schemas.openxmlformats.org/spreadsheetml/2006/main" count="324" uniqueCount="162">
  <si>
    <t>Al</t>
  </si>
  <si>
    <t>As</t>
  </si>
  <si>
    <t>B</t>
  </si>
  <si>
    <t>Ba</t>
  </si>
  <si>
    <t>Be</t>
  </si>
  <si>
    <t>Bi</t>
  </si>
  <si>
    <t>Br</t>
  </si>
  <si>
    <t>Ca</t>
  </si>
  <si>
    <t>Cd</t>
  </si>
  <si>
    <t>Cl</t>
  </si>
  <si>
    <t>Co</t>
  </si>
  <si>
    <t>Cr</t>
  </si>
  <si>
    <t>Cs</t>
  </si>
  <si>
    <t>Cu</t>
  </si>
  <si>
    <t>Fe</t>
  </si>
  <si>
    <t>Ga</t>
  </si>
  <si>
    <t>I</t>
  </si>
  <si>
    <t>In</t>
  </si>
  <si>
    <t>K</t>
  </si>
  <si>
    <t>Li</t>
  </si>
  <si>
    <t>Mg</t>
  </si>
  <si>
    <t>Mn</t>
  </si>
  <si>
    <t>Mo</t>
  </si>
  <si>
    <t>Na</t>
  </si>
  <si>
    <t>Ni</t>
  </si>
  <si>
    <t>Pb</t>
  </si>
  <si>
    <t>Rb</t>
  </si>
  <si>
    <t>S</t>
  </si>
  <si>
    <t>Se</t>
  </si>
  <si>
    <t>Si</t>
  </si>
  <si>
    <t>Sr</t>
  </si>
  <si>
    <t>U</t>
  </si>
  <si>
    <t>V</t>
  </si>
  <si>
    <t>Zn</t>
  </si>
  <si>
    <t>Tl</t>
  </si>
  <si>
    <t>Captiv8 Aquaculture Salinity and Ionic Value Calculator for ICP Analysis</t>
  </si>
  <si>
    <t>Customer Name</t>
  </si>
  <si>
    <t>Customer Email</t>
  </si>
  <si>
    <t>Date of Analysis</t>
  </si>
  <si>
    <t>% Variance of</t>
  </si>
  <si>
    <t>Calculated Values at Sample S</t>
  </si>
  <si>
    <t>Net System Volume (gal.)</t>
  </si>
  <si>
    <t>n/a</t>
  </si>
  <si>
    <t>Supplement</t>
  </si>
  <si>
    <t>Isol8 B</t>
  </si>
  <si>
    <t>Isol8 Br</t>
  </si>
  <si>
    <t>Isol8 Ca*</t>
  </si>
  <si>
    <t>Isol8 Co</t>
  </si>
  <si>
    <t>Isol8 Cu</t>
  </si>
  <si>
    <t>Isol8 Fe</t>
  </si>
  <si>
    <t>Isol8 I</t>
  </si>
  <si>
    <t>Isol8 K</t>
  </si>
  <si>
    <t>Isol8 Mg</t>
  </si>
  <si>
    <t>Isol8 Mn</t>
  </si>
  <si>
    <t>Isol8 Mo</t>
  </si>
  <si>
    <t>Isol8 Ni</t>
  </si>
  <si>
    <t>Isol8 Rb</t>
  </si>
  <si>
    <t>Isol8 Se</t>
  </si>
  <si>
    <t>Isol8 Si</t>
  </si>
  <si>
    <t>Isol8 Sr</t>
  </si>
  <si>
    <t>Isol8 V</t>
  </si>
  <si>
    <t>Isol8 Zn</t>
  </si>
  <si>
    <t>F</t>
  </si>
  <si>
    <t>Isol8 F</t>
  </si>
  <si>
    <t>Coral8 Yin*</t>
  </si>
  <si>
    <t>Measured vs. Calculated</t>
  </si>
  <si>
    <t>Dosage req'd at time of sampling</t>
  </si>
  <si>
    <t>mL</t>
  </si>
  <si>
    <t>Drops (20 per mL)</t>
  </si>
  <si>
    <t>*Both provide Ca; aquarist choice of dosing method.</t>
  </si>
  <si>
    <t>Chloride is the most prevalant anion in seawater and generally requires no dosing</t>
  </si>
  <si>
    <t>Sodium is the most prevalant cation in seawater and generally requires no dosing</t>
  </si>
  <si>
    <t>It is not advised to dose Aluminum in closed recirculating marine ecosystems</t>
  </si>
  <si>
    <t>It is not advised to dose Arsenic in closed recirculating marine ecosystems</t>
  </si>
  <si>
    <t>It is not advised to dose Barium in closed recirculating marine ecosystems</t>
  </si>
  <si>
    <t>It is not advised to dose Beryllium in closed recirculating marine ecosystems</t>
  </si>
  <si>
    <t>It is not advised to dose Bismuth in closed recirculating marine ecosystems</t>
  </si>
  <si>
    <t>It is not advised to dose Cadmium in closed recirculating marine ecosystems</t>
  </si>
  <si>
    <t>It is not advised to dose Caesium in closed recirculating marine ecosystems</t>
  </si>
  <si>
    <t>It is not advised to dose Gallium in closed recirculating marine ecosystems</t>
  </si>
  <si>
    <t>It is not advised to dose Indium in closed recirculating marine ecosystems</t>
  </si>
  <si>
    <t>It is not advised to dose Lithium in closed recirculating marine ecosystems</t>
  </si>
  <si>
    <t>It is not advised to dose Lead in closed recirculating marine ecosystems</t>
  </si>
  <si>
    <t>It is not advised to dose Uranium in closed recirculating marine ecosystems</t>
  </si>
  <si>
    <t>It is not advised to dose Thallium in closed recirculating marine ecosystems</t>
  </si>
  <si>
    <t>Aluminum</t>
  </si>
  <si>
    <t>Arsenic</t>
  </si>
  <si>
    <t>Boron</t>
  </si>
  <si>
    <t>Barium</t>
  </si>
  <si>
    <t>Beryllium</t>
  </si>
  <si>
    <t>Bismuth</t>
  </si>
  <si>
    <t>Bromide</t>
  </si>
  <si>
    <t>Calcium</t>
  </si>
  <si>
    <t>Chloride</t>
  </si>
  <si>
    <t>Cobalt</t>
  </si>
  <si>
    <t>Chromium</t>
  </si>
  <si>
    <t>Caesium</t>
  </si>
  <si>
    <t>Copper</t>
  </si>
  <si>
    <t>Fluoride</t>
  </si>
  <si>
    <t>Iron</t>
  </si>
  <si>
    <t>Gallium</t>
  </si>
  <si>
    <t>Iodide</t>
  </si>
  <si>
    <t>Indium</t>
  </si>
  <si>
    <t>Potassium</t>
  </si>
  <si>
    <t>Lithium</t>
  </si>
  <si>
    <t>Magnesium</t>
  </si>
  <si>
    <t>Manganese</t>
  </si>
  <si>
    <t>Molybdenum</t>
  </si>
  <si>
    <t>Sodium</t>
  </si>
  <si>
    <t>Nickel</t>
  </si>
  <si>
    <t>Lead</t>
  </si>
  <si>
    <t>Rubidium</t>
  </si>
  <si>
    <t>Sulfur</t>
  </si>
  <si>
    <t>Selenium</t>
  </si>
  <si>
    <t>Silicon</t>
  </si>
  <si>
    <t>Strontium</t>
  </si>
  <si>
    <t>Thallium</t>
  </si>
  <si>
    <t>Uranium</t>
  </si>
  <si>
    <t>Vanadium</t>
  </si>
  <si>
    <t>Zinc</t>
  </si>
  <si>
    <t>Alkalinity</t>
  </si>
  <si>
    <t>dKH</t>
  </si>
  <si>
    <t>Please enter your name</t>
  </si>
  <si>
    <t>Please enter your email</t>
  </si>
  <si>
    <t>Please enter the date of the ICP analysis</t>
  </si>
  <si>
    <t>Please enter the net system volume (gallons)</t>
  </si>
  <si>
    <t>Water temperature</t>
  </si>
  <si>
    <t>°F</t>
  </si>
  <si>
    <t>Specific Gravity</t>
  </si>
  <si>
    <t>g/cm3</t>
  </si>
  <si>
    <t>Copyright 2022 Captiv8 Aquaculture | Sheridan, WY 82801 USA | lab@captiv8aquaculture.com</t>
  </si>
  <si>
    <t>Important: After entering all values in the fields below, save this file with your initials and the date, and then email it to lab@captiv8aquaculture.com.</t>
  </si>
  <si>
    <t>ICP Analysis Evaluation</t>
  </si>
  <si>
    <t>Sulfate Calculated</t>
  </si>
  <si>
    <t>Salinity Calculated*</t>
  </si>
  <si>
    <t>*Calculated salinity incorporates reported alkalinity value, and assumes that the majority of alkalinity comes from carbonate species.</t>
  </si>
  <si>
    <t>Reported Values</t>
  </si>
  <si>
    <t>Element</t>
  </si>
  <si>
    <t>Symbol</t>
  </si>
  <si>
    <t>Note: In systems with hydroxide and borate dosing, dKH is of questionable value; better is to use meq/L, which takes into account all ions which influence pH.</t>
  </si>
  <si>
    <t>Cadmium</t>
  </si>
  <si>
    <t>Captiv8 Aquaculture</t>
  </si>
  <si>
    <t>ppm</t>
  </si>
  <si>
    <t>If analsysis does not include chloride value, then be sure to enter values for specific gravity and water temperature, continue completing all other fields, and save and email the file; we will provide a calculated chloride value. Premium ICP providers will provide a chloride value.</t>
  </si>
  <si>
    <t>If ICP analysis does not provide a value for the element, or the value is below the ICP detection level (e.g. "none detected"), then leave value as "0.0000".</t>
  </si>
  <si>
    <t>Enter ICP values for all elements in ppm (for values reported as ppb, move decimal three places left (1 ppb = 0.001 ppm)).</t>
  </si>
  <si>
    <t>Sulfate is the second-most prevalant anion in seawater and generally requires no dosing; sulfate value is calculated from sulfur value</t>
  </si>
  <si>
    <t>See notes below pertaining to sulfate</t>
  </si>
  <si>
    <t>Notes</t>
  </si>
  <si>
    <r>
      <t xml:space="preserve">Column 'G' shows salinity-adjusted ionic values (what the values </t>
    </r>
    <r>
      <rPr>
        <i/>
        <sz val="8"/>
        <rFont val="Tahoma"/>
      </rPr>
      <t>should be</t>
    </r>
    <r>
      <rPr>
        <sz val="8"/>
        <rFont val="Tahoma"/>
      </rPr>
      <t xml:space="preserve"> at the measured salinity using NSW S = 35.1797 as standard).</t>
    </r>
  </si>
  <si>
    <t>**Natural Seawater Ionic Reference Values at S=35.1797, incorporating dKH value reported in ICP analysis.</t>
  </si>
  <si>
    <t>Std NSW Values** @ S</t>
  </si>
  <si>
    <t>Adj NSW Values @ S</t>
  </si>
  <si>
    <t>Total mg req'd</t>
  </si>
  <si>
    <t>Enter your name</t>
  </si>
  <si>
    <t>Enter your email</t>
  </si>
  <si>
    <t>Enter ICP date</t>
  </si>
  <si>
    <t>Recommended change in daily dosage*</t>
  </si>
  <si>
    <t>*Apply the recommended change in daily dosing to the current dosage of that solution (if applicable). If an element is elevated and the recommendation is to change the daily dosage by a negative value, then simply deduct the recommended change in dosage from the current dosage.</t>
  </si>
  <si>
    <t>Enter system vol. USG</t>
  </si>
  <si>
    <t>Once all data is entered, values will calculate on second tab.</t>
  </si>
  <si>
    <t>Isol8 Cr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</si>
</sst>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
    <numFmt numFmtId="165" formatCode="0.000E+00"/>
    <numFmt numFmtId="166" formatCode="0.0000"/>
    <numFmt numFmtId="167" formatCode="[$-409]d\-mmm\-yy;@"/>
    <numFmt numFmtId="168" formatCode="0.0000%"/>
    <numFmt numFmtId="169" formatCode="0.0000000"/>
  </numFmts>
  <fonts count="19" x14ac:knownFonts="1">
    <font>
      <sz val="12"/>
      <color theme="1"/>
      <name val="Calibri"/>
      <family val="2"/>
      <scheme val="minor"/>
    </font>
    <font>
      <sz val="8"/>
      <name val="Tahoma"/>
    </font>
    <font>
      <sz val="8"/>
      <color theme="1"/>
      <name val="Tahoma"/>
    </font>
    <font>
      <u/>
      <sz val="12"/>
      <color theme="10"/>
      <name val="Calibri"/>
      <family val="2"/>
      <scheme val="minor"/>
    </font>
    <font>
      <u/>
      <sz val="12"/>
      <color theme="11"/>
      <name val="Calibri"/>
      <family val="2"/>
      <scheme val="minor"/>
    </font>
    <font>
      <i/>
      <sz val="8"/>
      <name val="Tahoma"/>
    </font>
    <font>
      <sz val="12"/>
      <name val="Tahoma"/>
    </font>
    <font>
      <u/>
      <sz val="8"/>
      <name val="Tahoma"/>
    </font>
    <font>
      <b/>
      <sz val="8"/>
      <name val="Tahoma"/>
    </font>
    <font>
      <sz val="8"/>
      <name val="Calibri"/>
      <family val="2"/>
      <scheme val="minor"/>
    </font>
    <font>
      <sz val="8"/>
      <name val="Arial"/>
    </font>
    <font>
      <b/>
      <sz val="12"/>
      <color theme="1"/>
      <name val="Calibri"/>
      <family val="2"/>
      <scheme val="minor"/>
    </font>
    <font>
      <sz val="12"/>
      <name val="Arial"/>
    </font>
    <font>
      <b/>
      <sz val="12"/>
      <name val="Tahoma"/>
    </font>
    <font>
      <sz val="12"/>
      <name val="Calibri"/>
      <family val="2"/>
      <scheme val="minor"/>
    </font>
    <font>
      <u/>
      <sz val="12"/>
      <name val="Tahoma"/>
    </font>
    <font>
      <i/>
      <sz val="12"/>
      <color theme="1"/>
      <name val="Calibri"/>
      <scheme val="minor"/>
    </font>
    <font>
      <b/>
      <i/>
      <sz val="12"/>
      <color theme="1"/>
      <name val="Calibri"/>
      <scheme val="minor"/>
    </font>
    <font>
      <sz val="10"/>
      <name val="Tahoma"/>
    </font>
  </fonts>
  <fills count="5">
    <fill>
      <patternFill patternType="none"/>
    </fill>
    <fill>
      <patternFill patternType="gray125"/>
    </fill>
    <fill>
      <patternFill patternType="solid">
        <fgColor theme="7" tint="0.39997558519241921"/>
        <bgColor indexed="64"/>
      </patternFill>
    </fill>
    <fill>
      <patternFill patternType="solid">
        <fgColor theme="8" tint="0.39997558519241921"/>
        <bgColor indexed="64"/>
      </patternFill>
    </fill>
    <fill>
      <patternFill patternType="solid">
        <fgColor theme="8"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bottom/>
      <diagonal/>
    </border>
  </borders>
  <cellStyleXfs count="412">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09">
    <xf numFmtId="0" fontId="0" fillId="0" borderId="0" xfId="0"/>
    <xf numFmtId="0" fontId="6" fillId="2" borderId="0" xfId="0" applyFont="1" applyFill="1" applyBorder="1" applyAlignment="1" applyProtection="1">
      <alignment horizontal="center" vertical="justify"/>
      <protection locked="0"/>
    </xf>
    <xf numFmtId="0" fontId="15" fillId="2" borderId="0" xfId="257" applyFont="1" applyFill="1" applyBorder="1" applyAlignment="1" applyProtection="1">
      <alignment horizontal="center" vertical="justify"/>
      <protection locked="0"/>
    </xf>
    <xf numFmtId="167" fontId="6" fillId="2" borderId="0" xfId="0" applyNumberFormat="1" applyFont="1" applyFill="1" applyBorder="1" applyAlignment="1" applyProtection="1">
      <alignment horizontal="center" vertical="justify"/>
      <protection locked="0"/>
    </xf>
    <xf numFmtId="2" fontId="6" fillId="2" borderId="0" xfId="0" applyNumberFormat="1" applyFont="1" applyFill="1" applyBorder="1" applyAlignment="1" applyProtection="1">
      <alignment horizontal="center" vertical="justify"/>
      <protection locked="0"/>
    </xf>
    <xf numFmtId="0" fontId="6" fillId="3" borderId="0" xfId="0" applyFont="1" applyFill="1" applyBorder="1" applyProtection="1"/>
    <xf numFmtId="0" fontId="12" fillId="3" borderId="0" xfId="0" applyFont="1" applyFill="1" applyBorder="1" applyProtection="1"/>
    <xf numFmtId="0" fontId="6" fillId="3" borderId="0" xfId="0" applyFont="1" applyFill="1" applyBorder="1" applyAlignment="1" applyProtection="1">
      <alignment vertical="justify"/>
    </xf>
    <xf numFmtId="0" fontId="6" fillId="3" borderId="0" xfId="0" applyFont="1" applyFill="1" applyBorder="1" applyAlignment="1" applyProtection="1">
      <alignment horizontal="left"/>
    </xf>
    <xf numFmtId="0" fontId="6" fillId="3" borderId="0" xfId="0" applyFont="1" applyFill="1" applyBorder="1" applyAlignment="1" applyProtection="1">
      <alignment horizontal="center"/>
    </xf>
    <xf numFmtId="166" fontId="6" fillId="3" borderId="0" xfId="0" applyNumberFormat="1" applyFont="1" applyFill="1" applyBorder="1" applyAlignment="1" applyProtection="1">
      <alignment horizontal="left" vertical="center"/>
    </xf>
    <xf numFmtId="164" fontId="6" fillId="3" borderId="0" xfId="0" applyNumberFormat="1" applyFont="1" applyFill="1" applyBorder="1" applyAlignment="1" applyProtection="1">
      <alignment horizontal="left"/>
    </xf>
    <xf numFmtId="0" fontId="6" fillId="3" borderId="0" xfId="0" applyFont="1" applyFill="1" applyBorder="1" applyAlignment="1" applyProtection="1">
      <alignment horizontal="center" vertical="center" wrapText="1"/>
    </xf>
    <xf numFmtId="0" fontId="1" fillId="3" borderId="0" xfId="0" applyFont="1" applyFill="1" applyBorder="1" applyProtection="1"/>
    <xf numFmtId="0" fontId="7" fillId="3" borderId="0" xfId="257" applyFont="1" applyFill="1" applyBorder="1" applyProtection="1"/>
    <xf numFmtId="167" fontId="1" fillId="3" borderId="0" xfId="0" applyNumberFormat="1" applyFont="1" applyFill="1" applyBorder="1" applyAlignment="1" applyProtection="1">
      <alignment horizontal="left"/>
    </xf>
    <xf numFmtId="0" fontId="1" fillId="3" borderId="6" xfId="0" applyFont="1" applyFill="1" applyBorder="1" applyAlignment="1" applyProtection="1">
      <alignment horizontal="center"/>
    </xf>
    <xf numFmtId="0" fontId="1" fillId="3" borderId="4" xfId="0" applyFont="1" applyFill="1" applyBorder="1" applyAlignment="1" applyProtection="1">
      <alignment horizontal="center"/>
    </xf>
    <xf numFmtId="0" fontId="1" fillId="3" borderId="0" xfId="0" applyFont="1" applyFill="1" applyBorder="1" applyAlignment="1" applyProtection="1">
      <alignment horizontal="center" vertical="center"/>
    </xf>
    <xf numFmtId="14" fontId="1" fillId="3" borderId="0" xfId="0" applyNumberFormat="1" applyFont="1" applyFill="1" applyBorder="1" applyAlignment="1" applyProtection="1">
      <alignment horizontal="center" vertical="center"/>
    </xf>
    <xf numFmtId="166" fontId="1" fillId="3" borderId="0" xfId="0" applyNumberFormat="1" applyFont="1" applyFill="1" applyBorder="1" applyAlignment="1" applyProtection="1">
      <alignment horizontal="left" vertical="center"/>
    </xf>
    <xf numFmtId="0" fontId="1" fillId="3" borderId="5" xfId="0" applyFont="1" applyFill="1" applyBorder="1" applyAlignment="1" applyProtection="1">
      <alignment horizontal="center"/>
    </xf>
    <xf numFmtId="0" fontId="1" fillId="3" borderId="4" xfId="0" applyFont="1" applyFill="1" applyBorder="1" applyProtection="1"/>
    <xf numFmtId="0" fontId="1" fillId="3" borderId="0" xfId="0" applyFont="1" applyFill="1" applyBorder="1" applyAlignment="1" applyProtection="1">
      <alignment horizontal="right"/>
    </xf>
    <xf numFmtId="0" fontId="1" fillId="3" borderId="0" xfId="0" applyFont="1" applyFill="1" applyBorder="1" applyAlignment="1" applyProtection="1">
      <alignment horizontal="left"/>
    </xf>
    <xf numFmtId="166" fontId="1" fillId="3" borderId="0" xfId="0" applyNumberFormat="1" applyFont="1" applyFill="1" applyBorder="1" applyAlignment="1" applyProtection="1">
      <alignment horizontal="right"/>
    </xf>
    <xf numFmtId="166" fontId="1" fillId="3" borderId="0" xfId="0" applyNumberFormat="1" applyFont="1" applyFill="1" applyBorder="1" applyAlignment="1" applyProtection="1">
      <alignment horizontal="right" vertical="center"/>
    </xf>
    <xf numFmtId="165" fontId="1" fillId="3" borderId="0" xfId="0" applyNumberFormat="1" applyFont="1" applyFill="1" applyBorder="1" applyAlignment="1" applyProtection="1">
      <alignment horizontal="right" vertical="center"/>
    </xf>
    <xf numFmtId="168" fontId="1" fillId="3" borderId="0" xfId="0" applyNumberFormat="1" applyFont="1" applyFill="1" applyBorder="1" applyAlignment="1" applyProtection="1">
      <alignment horizontal="right" vertical="center"/>
    </xf>
    <xf numFmtId="0" fontId="1" fillId="3" borderId="0"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10" fillId="3" borderId="0" xfId="0" applyFont="1" applyFill="1" applyBorder="1" applyProtection="1"/>
    <xf numFmtId="0" fontId="1" fillId="3" borderId="0" xfId="0" applyFont="1" applyFill="1" applyBorder="1" applyAlignment="1" applyProtection="1">
      <alignment vertical="justify"/>
    </xf>
    <xf numFmtId="166" fontId="1" fillId="3" borderId="0" xfId="0" applyNumberFormat="1" applyFont="1" applyFill="1" applyBorder="1" applyAlignment="1" applyProtection="1">
      <alignment horizontal="center"/>
    </xf>
    <xf numFmtId="166" fontId="1" fillId="3" borderId="0" xfId="0" applyNumberFormat="1" applyFont="1" applyFill="1" applyBorder="1" applyAlignment="1" applyProtection="1">
      <alignment horizontal="center" vertical="justify"/>
    </xf>
    <xf numFmtId="0" fontId="0" fillId="3" borderId="0" xfId="0" applyFont="1" applyFill="1" applyBorder="1" applyAlignment="1" applyProtection="1">
      <alignment horizontal="center" vertical="justify"/>
    </xf>
    <xf numFmtId="169" fontId="1" fillId="3" borderId="0" xfId="0" applyNumberFormat="1" applyFont="1" applyFill="1" applyBorder="1" applyAlignment="1" applyProtection="1">
      <alignment horizontal="right"/>
    </xf>
    <xf numFmtId="164" fontId="1" fillId="3" borderId="0" xfId="0" applyNumberFormat="1" applyFont="1" applyFill="1" applyBorder="1" applyAlignment="1" applyProtection="1">
      <alignment horizontal="center"/>
    </xf>
    <xf numFmtId="165" fontId="1" fillId="3" borderId="0" xfId="0" applyNumberFormat="1" applyFont="1" applyFill="1" applyBorder="1" applyAlignment="1" applyProtection="1">
      <alignment horizontal="right"/>
    </xf>
    <xf numFmtId="0" fontId="1" fillId="4" borderId="0" xfId="0" applyFont="1" applyFill="1" applyBorder="1" applyAlignment="1" applyProtection="1">
      <alignment horizontal="center" vertical="center" wrapText="1"/>
    </xf>
    <xf numFmtId="166" fontId="1" fillId="4" borderId="0" xfId="0" applyNumberFormat="1" applyFont="1" applyFill="1" applyBorder="1" applyAlignment="1" applyProtection="1">
      <alignment horizontal="left" vertical="center"/>
    </xf>
    <xf numFmtId="0" fontId="1" fillId="4" borderId="0" xfId="0" applyFont="1" applyFill="1" applyBorder="1" applyAlignment="1" applyProtection="1">
      <alignment horizontal="center"/>
    </xf>
    <xf numFmtId="0" fontId="1" fillId="4" borderId="0" xfId="0" applyFont="1" applyFill="1" applyBorder="1" applyAlignment="1" applyProtection="1">
      <alignment horizontal="right"/>
    </xf>
    <xf numFmtId="169" fontId="1" fillId="4" borderId="0" xfId="0" applyNumberFormat="1" applyFont="1" applyFill="1" applyBorder="1" applyAlignment="1" applyProtection="1">
      <alignment horizontal="right"/>
    </xf>
    <xf numFmtId="166" fontId="1" fillId="3" borderId="0" xfId="0" applyNumberFormat="1" applyFont="1" applyFill="1" applyBorder="1" applyAlignment="1" applyProtection="1">
      <alignment horizontal="left" vertical="justify"/>
    </xf>
    <xf numFmtId="0" fontId="0" fillId="3" borderId="0" xfId="0" applyFont="1" applyFill="1" applyBorder="1" applyAlignment="1" applyProtection="1">
      <alignment horizontal="left" vertical="justify"/>
    </xf>
    <xf numFmtId="0" fontId="1" fillId="3" borderId="5" xfId="0" applyFont="1" applyFill="1" applyBorder="1" applyAlignment="1" applyProtection="1">
      <alignment horizontal="center" vertical="justify"/>
    </xf>
    <xf numFmtId="166" fontId="1" fillId="4" borderId="0" xfId="0" applyNumberFormat="1" applyFont="1" applyFill="1" applyBorder="1" applyAlignment="1" applyProtection="1">
      <alignment horizontal="center"/>
    </xf>
    <xf numFmtId="164" fontId="1" fillId="4" borderId="0" xfId="0" applyNumberFormat="1" applyFont="1" applyFill="1" applyBorder="1" applyAlignment="1" applyProtection="1">
      <alignment horizontal="center"/>
    </xf>
    <xf numFmtId="0" fontId="1" fillId="4" borderId="0" xfId="0" applyFont="1" applyFill="1" applyBorder="1" applyAlignment="1" applyProtection="1">
      <alignment horizontal="left"/>
    </xf>
    <xf numFmtId="0" fontId="6" fillId="3" borderId="0" xfId="0" applyFont="1" applyFill="1" applyBorder="1" applyAlignment="1" applyProtection="1">
      <alignment vertical="top"/>
    </xf>
    <xf numFmtId="166" fontId="2" fillId="3" borderId="5" xfId="0" applyNumberFormat="1" applyFont="1" applyFill="1" applyBorder="1" applyAlignment="1" applyProtection="1">
      <alignment horizontal="center"/>
    </xf>
    <xf numFmtId="166" fontId="1" fillId="4" borderId="0" xfId="0" applyNumberFormat="1" applyFont="1" applyFill="1" applyBorder="1" applyAlignment="1" applyProtection="1">
      <alignment horizontal="right"/>
    </xf>
    <xf numFmtId="165" fontId="1" fillId="4" borderId="0" xfId="0" applyNumberFormat="1" applyFont="1" applyFill="1" applyBorder="1" applyAlignment="1" applyProtection="1">
      <alignment horizontal="right"/>
    </xf>
    <xf numFmtId="166" fontId="1" fillId="3" borderId="9" xfId="0" applyNumberFormat="1" applyFont="1" applyFill="1" applyBorder="1" applyAlignment="1" applyProtection="1">
      <alignment horizontal="right" vertical="center"/>
    </xf>
    <xf numFmtId="11" fontId="1" fillId="4" borderId="9" xfId="0" applyNumberFormat="1" applyFont="1" applyFill="1" applyBorder="1" applyAlignment="1" applyProtection="1">
      <alignment horizontal="right" vertical="center"/>
    </xf>
    <xf numFmtId="11" fontId="1" fillId="3" borderId="9" xfId="0" applyNumberFormat="1" applyFont="1" applyFill="1" applyBorder="1" applyAlignment="1" applyProtection="1">
      <alignment horizontal="right" vertical="center"/>
    </xf>
    <xf numFmtId="165" fontId="1" fillId="4" borderId="9" xfId="0" applyNumberFormat="1" applyFont="1" applyFill="1" applyBorder="1" applyAlignment="1" applyProtection="1">
      <alignment horizontal="right" vertical="center"/>
    </xf>
    <xf numFmtId="165" fontId="1" fillId="3" borderId="9" xfId="0" applyNumberFormat="1" applyFont="1" applyFill="1" applyBorder="1" applyAlignment="1" applyProtection="1">
      <alignment horizontal="right" vertical="center"/>
    </xf>
    <xf numFmtId="164" fontId="1" fillId="4" borderId="9" xfId="0" applyNumberFormat="1" applyFont="1" applyFill="1" applyBorder="1" applyAlignment="1" applyProtection="1">
      <alignment horizontal="right" vertical="center"/>
    </xf>
    <xf numFmtId="164" fontId="1" fillId="3" borderId="9" xfId="0" applyNumberFormat="1" applyFont="1" applyFill="1" applyBorder="1" applyAlignment="1" applyProtection="1">
      <alignment horizontal="right" vertical="center"/>
    </xf>
    <xf numFmtId="166" fontId="1" fillId="3" borderId="5" xfId="0" applyNumberFormat="1" applyFont="1" applyFill="1" applyBorder="1" applyAlignment="1" applyProtection="1">
      <alignment horizontal="right" vertical="center"/>
    </xf>
    <xf numFmtId="0" fontId="1" fillId="3" borderId="9" xfId="0" applyFont="1" applyFill="1" applyBorder="1" applyAlignment="1" applyProtection="1">
      <alignment horizontal="right" vertical="center"/>
    </xf>
    <xf numFmtId="168" fontId="1" fillId="4" borderId="9" xfId="0" applyNumberFormat="1" applyFont="1" applyFill="1" applyBorder="1" applyAlignment="1" applyProtection="1">
      <alignment horizontal="right" vertical="center"/>
    </xf>
    <xf numFmtId="168" fontId="1" fillId="3" borderId="9" xfId="0" applyNumberFormat="1" applyFont="1" applyFill="1" applyBorder="1" applyAlignment="1" applyProtection="1">
      <alignment horizontal="right" vertical="center"/>
    </xf>
    <xf numFmtId="168" fontId="1" fillId="3" borderId="5" xfId="0" applyNumberFormat="1" applyFont="1" applyFill="1" applyBorder="1" applyAlignment="1" applyProtection="1">
      <alignment horizontal="right" vertical="center"/>
    </xf>
    <xf numFmtId="0" fontId="8" fillId="3" borderId="0" xfId="0" applyFont="1" applyFill="1" applyBorder="1" applyProtection="1"/>
    <xf numFmtId="0" fontId="9" fillId="4" borderId="0" xfId="0" applyFont="1" applyFill="1" applyBorder="1" applyProtection="1"/>
    <xf numFmtId="166" fontId="1" fillId="4" borderId="0" xfId="0" applyNumberFormat="1" applyFont="1" applyFill="1" applyBorder="1" applyAlignment="1" applyProtection="1">
      <alignment horizontal="right" vertical="center"/>
    </xf>
    <xf numFmtId="0" fontId="9" fillId="3" borderId="0" xfId="0" applyFont="1" applyFill="1" applyBorder="1" applyProtection="1"/>
    <xf numFmtId="0" fontId="1" fillId="4" borderId="0" xfId="0" applyFont="1" applyFill="1" applyBorder="1" applyProtection="1"/>
    <xf numFmtId="0" fontId="0" fillId="3" borderId="0" xfId="0" applyFill="1" applyAlignment="1" applyProtection="1">
      <alignment vertical="justify" wrapText="1"/>
    </xf>
    <xf numFmtId="166" fontId="1" fillId="3" borderId="7" xfId="0" applyNumberFormat="1" applyFont="1" applyFill="1" applyBorder="1" applyAlignment="1" applyProtection="1">
      <alignment horizontal="center"/>
    </xf>
    <xf numFmtId="0" fontId="14" fillId="3" borderId="0" xfId="0" applyFont="1" applyFill="1" applyBorder="1" applyProtection="1"/>
    <xf numFmtId="0" fontId="6" fillId="3" borderId="0" xfId="0" applyFont="1" applyFill="1" applyBorder="1" applyAlignment="1" applyProtection="1"/>
    <xf numFmtId="0" fontId="13" fillId="3" borderId="0" xfId="0" applyFont="1" applyFill="1" applyBorder="1" applyAlignment="1" applyProtection="1"/>
    <xf numFmtId="0" fontId="18" fillId="3" borderId="0" xfId="0" applyFont="1" applyFill="1" applyBorder="1" applyAlignment="1" applyProtection="1"/>
    <xf numFmtId="0" fontId="14" fillId="3" borderId="0" xfId="0" applyFont="1" applyFill="1" applyAlignment="1" applyProtection="1">
      <alignment vertical="top"/>
    </xf>
    <xf numFmtId="0" fontId="0" fillId="3" borderId="0" xfId="0" applyFill="1" applyAlignment="1" applyProtection="1">
      <alignment vertical="top" wrapText="1"/>
    </xf>
    <xf numFmtId="0" fontId="16" fillId="3" borderId="0" xfId="0" applyFont="1" applyFill="1" applyAlignment="1" applyProtection="1">
      <alignment vertical="top"/>
    </xf>
    <xf numFmtId="166" fontId="6" fillId="2" borderId="0" xfId="0" applyNumberFormat="1" applyFont="1" applyFill="1" applyBorder="1" applyAlignment="1" applyProtection="1">
      <alignment horizontal="right"/>
      <protection locked="0"/>
    </xf>
    <xf numFmtId="0" fontId="1" fillId="3" borderId="0" xfId="0" applyFont="1" applyFill="1" applyBorder="1" applyAlignment="1" applyProtection="1">
      <alignment horizontal="center" vertical="justify"/>
    </xf>
    <xf numFmtId="0" fontId="1" fillId="3" borderId="1" xfId="0" applyFont="1" applyFill="1" applyBorder="1" applyAlignment="1" applyProtection="1">
      <alignment horizontal="center" vertical="justify"/>
    </xf>
    <xf numFmtId="0" fontId="1" fillId="3" borderId="0" xfId="0" applyFont="1" applyFill="1" applyBorder="1" applyAlignment="1" applyProtection="1">
      <alignment horizontal="center"/>
    </xf>
    <xf numFmtId="166" fontId="6" fillId="2" borderId="0" xfId="0" applyNumberFormat="1" applyFont="1" applyFill="1" applyBorder="1" applyAlignment="1" applyProtection="1">
      <alignment horizontal="right" vertical="center"/>
      <protection locked="0"/>
    </xf>
    <xf numFmtId="0" fontId="17" fillId="3" borderId="0" xfId="0" applyFont="1" applyFill="1" applyAlignment="1" applyProtection="1">
      <alignment vertical="top" wrapText="1"/>
    </xf>
    <xf numFmtId="0" fontId="11" fillId="0" borderId="0" xfId="0" applyFont="1" applyAlignment="1" applyProtection="1">
      <alignment vertical="top" wrapText="1"/>
    </xf>
    <xf numFmtId="0" fontId="6" fillId="3" borderId="0" xfId="0" applyFont="1" applyFill="1" applyBorder="1" applyAlignment="1" applyProtection="1">
      <alignment vertical="top" wrapText="1"/>
    </xf>
    <xf numFmtId="0" fontId="0" fillId="0" borderId="0" xfId="0" applyAlignment="1" applyProtection="1">
      <alignment vertical="top" wrapText="1"/>
    </xf>
    <xf numFmtId="0" fontId="14" fillId="3" borderId="0" xfId="0" applyFont="1" applyFill="1" applyAlignment="1" applyProtection="1">
      <alignment vertical="top" wrapText="1"/>
    </xf>
    <xf numFmtId="0" fontId="0" fillId="3" borderId="0" xfId="0" applyFill="1" applyAlignment="1" applyProtection="1">
      <alignment vertical="top" wrapText="1"/>
    </xf>
    <xf numFmtId="0" fontId="0" fillId="3" borderId="0" xfId="0" applyFill="1" applyAlignment="1" applyProtection="1">
      <alignment vertical="top"/>
    </xf>
    <xf numFmtId="0" fontId="0" fillId="0" borderId="0" xfId="0" applyAlignment="1" applyProtection="1">
      <alignment vertical="top"/>
    </xf>
    <xf numFmtId="166" fontId="1" fillId="4" borderId="0" xfId="0" applyNumberFormat="1" applyFont="1" applyFill="1" applyBorder="1" applyAlignment="1" applyProtection="1">
      <alignment horizontal="left" vertical="justify" wrapText="1"/>
    </xf>
    <xf numFmtId="0" fontId="0" fillId="0" borderId="0" xfId="0" applyAlignment="1" applyProtection="1">
      <alignment vertical="justify" wrapText="1"/>
    </xf>
    <xf numFmtId="0" fontId="1" fillId="3" borderId="0" xfId="0" applyFont="1" applyFill="1" applyBorder="1" applyAlignment="1" applyProtection="1">
      <alignment horizontal="center"/>
    </xf>
    <xf numFmtId="0" fontId="0" fillId="0" borderId="0" xfId="0" applyAlignment="1" applyProtection="1">
      <alignment horizontal="center"/>
    </xf>
    <xf numFmtId="166" fontId="1" fillId="4" borderId="0" xfId="0" applyNumberFormat="1" applyFont="1" applyFill="1" applyBorder="1" applyAlignment="1" applyProtection="1">
      <alignment horizontal="left" vertical="justify"/>
    </xf>
    <xf numFmtId="0" fontId="0" fillId="4" borderId="0" xfId="0" applyFont="1" applyFill="1" applyBorder="1" applyAlignment="1" applyProtection="1">
      <alignment horizontal="left" vertical="justify"/>
    </xf>
    <xf numFmtId="0" fontId="1" fillId="3" borderId="2" xfId="0" applyFont="1" applyFill="1" applyBorder="1" applyAlignment="1" applyProtection="1">
      <alignment horizontal="center"/>
    </xf>
    <xf numFmtId="0" fontId="2" fillId="3" borderId="3" xfId="0" applyFont="1" applyFill="1" applyBorder="1" applyAlignment="1" applyProtection="1"/>
    <xf numFmtId="0" fontId="2" fillId="3" borderId="8" xfId="0" applyFont="1" applyFill="1" applyBorder="1" applyAlignment="1" applyProtection="1"/>
    <xf numFmtId="0" fontId="1" fillId="3" borderId="1" xfId="0" applyFont="1" applyFill="1" applyBorder="1" applyAlignment="1" applyProtection="1">
      <alignment horizontal="center" vertical="justify"/>
    </xf>
    <xf numFmtId="0" fontId="0" fillId="3" borderId="1" xfId="0" applyFont="1" applyFill="1" applyBorder="1" applyAlignment="1" applyProtection="1">
      <alignment horizontal="center" vertical="justify"/>
    </xf>
    <xf numFmtId="0" fontId="1" fillId="3" borderId="0" xfId="0" applyFont="1" applyFill="1" applyBorder="1" applyAlignment="1" applyProtection="1">
      <alignment vertical="top" wrapText="1"/>
    </xf>
    <xf numFmtId="0" fontId="0" fillId="0" borderId="0" xfId="0" applyAlignment="1">
      <alignment vertical="top" wrapText="1"/>
    </xf>
    <xf numFmtId="0" fontId="0" fillId="0" borderId="0" xfId="0" applyAlignment="1">
      <alignment wrapText="1"/>
    </xf>
    <xf numFmtId="0" fontId="1" fillId="3" borderId="0" xfId="0" applyFont="1" applyFill="1" applyBorder="1" applyAlignment="1" applyProtection="1">
      <alignment horizontal="center" vertical="justify"/>
    </xf>
    <xf numFmtId="0" fontId="0" fillId="3" borderId="0" xfId="0" applyFill="1" applyBorder="1" applyAlignment="1" applyProtection="1"/>
  </cellXfs>
  <cellStyles count="41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1532467</xdr:colOff>
      <xdr:row>0</xdr:row>
      <xdr:rowOff>42333</xdr:rowOff>
    </xdr:from>
    <xdr:to>
      <xdr:col>5</xdr:col>
      <xdr:colOff>1053592</xdr:colOff>
      <xdr:row>5</xdr:row>
      <xdr:rowOff>117517</xdr:rowOff>
    </xdr:to>
    <xdr:pic>
      <xdr:nvPicPr>
        <xdr:cNvPr id="3" name="Picture 2"/>
        <xdr:cNvPicPr>
          <a:picLocks noChangeAspect="1"/>
        </xdr:cNvPicPr>
      </xdr:nvPicPr>
      <xdr:blipFill>
        <a:blip xmlns:r="http://schemas.openxmlformats.org/officeDocument/2006/relationships" r:embed="rId1"/>
        <a:stretch>
          <a:fillRect/>
        </a:stretch>
      </xdr:blipFill>
      <xdr:spPr>
        <a:xfrm>
          <a:off x="5012267" y="42333"/>
          <a:ext cx="3517392" cy="1091184"/>
        </a:xfrm>
        <a:prstGeom prst="rect">
          <a:avLst/>
        </a:prstGeom>
      </xdr:spPr>
    </xdr:pic>
    <xdr:clientData/>
  </xdr:twoCellAnchor>
  <xdr:twoCellAnchor editAs="oneCell">
    <xdr:from>
      <xdr:col>0</xdr:col>
      <xdr:colOff>42333</xdr:colOff>
      <xdr:row>0</xdr:row>
      <xdr:rowOff>0</xdr:rowOff>
    </xdr:from>
    <xdr:to>
      <xdr:col>2</xdr:col>
      <xdr:colOff>1585637</xdr:colOff>
      <xdr:row>4</xdr:row>
      <xdr:rowOff>162560</xdr:rowOff>
    </xdr:to>
    <xdr:pic>
      <xdr:nvPicPr>
        <xdr:cNvPr id="4" name="Picture 3"/>
        <xdr:cNvPicPr>
          <a:picLocks noChangeAspect="1"/>
        </xdr:cNvPicPr>
      </xdr:nvPicPr>
      <xdr:blipFill>
        <a:blip xmlns:r="http://schemas.openxmlformats.org/officeDocument/2006/relationships" r:embed="rId2"/>
        <a:stretch>
          <a:fillRect/>
        </a:stretch>
      </xdr:blipFill>
      <xdr:spPr>
        <a:xfrm>
          <a:off x="42333" y="0"/>
          <a:ext cx="5023104" cy="9753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tabSelected="1" zoomScale="150" zoomScaleNormal="150" zoomScalePageLayoutView="150" workbookViewId="0">
      <selection activeCell="C25" sqref="C25"/>
    </sheetView>
  </sheetViews>
  <sheetFormatPr baseColWidth="10" defaultRowHeight="16" x14ac:dyDescent="0"/>
  <cols>
    <col min="1" max="1" width="31" style="73" customWidth="1"/>
    <col min="2" max="2" width="3.25" style="73" bestFit="1" customWidth="1"/>
    <col min="3" max="3" width="18" style="73" customWidth="1"/>
    <col min="4" max="16384" width="10.625" style="73"/>
  </cols>
  <sheetData>
    <row r="1" spans="1:7">
      <c r="B1" s="74"/>
      <c r="C1" s="74"/>
      <c r="D1" s="74"/>
      <c r="E1" s="74"/>
      <c r="F1" s="74"/>
      <c r="G1" s="74"/>
    </row>
    <row r="6" spans="1:7">
      <c r="A6" s="75" t="s">
        <v>35</v>
      </c>
    </row>
    <row r="7" spans="1:7">
      <c r="A7" s="76" t="s">
        <v>130</v>
      </c>
    </row>
    <row r="8" spans="1:7">
      <c r="A8" s="74"/>
    </row>
    <row r="9" spans="1:7">
      <c r="A9" s="87" t="s">
        <v>145</v>
      </c>
      <c r="B9" s="88"/>
      <c r="C9" s="88"/>
      <c r="D9" s="88"/>
    </row>
    <row r="10" spans="1:7">
      <c r="A10" s="88"/>
      <c r="B10" s="88"/>
      <c r="C10" s="88"/>
      <c r="D10" s="88"/>
    </row>
    <row r="11" spans="1:7">
      <c r="A11" s="50"/>
      <c r="B11" s="77"/>
      <c r="C11" s="77"/>
      <c r="D11" s="77"/>
    </row>
    <row r="12" spans="1:7">
      <c r="A12" s="89" t="s">
        <v>144</v>
      </c>
      <c r="B12" s="88"/>
      <c r="C12" s="88"/>
      <c r="D12" s="88"/>
    </row>
    <row r="13" spans="1:7">
      <c r="A13" s="88"/>
      <c r="B13" s="88"/>
      <c r="C13" s="88"/>
      <c r="D13" s="88"/>
    </row>
    <row r="14" spans="1:7">
      <c r="A14" s="77"/>
      <c r="B14" s="77"/>
      <c r="C14" s="77"/>
      <c r="D14" s="77"/>
    </row>
    <row r="15" spans="1:7">
      <c r="A15" s="89" t="s">
        <v>143</v>
      </c>
      <c r="B15" s="90"/>
      <c r="C15" s="90"/>
      <c r="D15" s="90"/>
    </row>
    <row r="16" spans="1:7">
      <c r="A16" s="90"/>
      <c r="B16" s="90"/>
      <c r="C16" s="90"/>
      <c r="D16" s="90"/>
    </row>
    <row r="17" spans="1:4">
      <c r="A17" s="90"/>
      <c r="B17" s="90"/>
      <c r="C17" s="90"/>
      <c r="D17" s="90"/>
    </row>
    <row r="18" spans="1:4">
      <c r="A18" s="90"/>
      <c r="B18" s="90"/>
      <c r="C18" s="90"/>
      <c r="D18" s="90"/>
    </row>
    <row r="19" spans="1:4">
      <c r="A19" s="78"/>
      <c r="B19" s="78"/>
      <c r="C19" s="78"/>
      <c r="D19" s="78"/>
    </row>
    <row r="20" spans="1:4">
      <c r="A20" s="91" t="s">
        <v>160</v>
      </c>
      <c r="B20" s="92"/>
      <c r="C20" s="92"/>
      <c r="D20" s="92"/>
    </row>
    <row r="21" spans="1:4">
      <c r="B21" s="78"/>
      <c r="C21" s="78"/>
      <c r="D21" s="78"/>
    </row>
    <row r="22" spans="1:4">
      <c r="A22" s="85" t="s">
        <v>131</v>
      </c>
      <c r="B22" s="86"/>
      <c r="C22" s="86"/>
      <c r="D22" s="86"/>
    </row>
    <row r="23" spans="1:4">
      <c r="A23" s="86"/>
      <c r="B23" s="86"/>
      <c r="C23" s="86"/>
      <c r="D23" s="86"/>
    </row>
    <row r="24" spans="1:4">
      <c r="A24" s="79"/>
      <c r="B24" s="78"/>
      <c r="C24" s="78"/>
      <c r="D24" s="78"/>
    </row>
    <row r="25" spans="1:4">
      <c r="A25" s="5" t="s">
        <v>122</v>
      </c>
      <c r="B25" s="5"/>
      <c r="C25" s="1" t="s">
        <v>154</v>
      </c>
      <c r="D25" s="6"/>
    </row>
    <row r="26" spans="1:4">
      <c r="A26" s="5" t="s">
        <v>123</v>
      </c>
      <c r="B26" s="5"/>
      <c r="C26" s="2" t="s">
        <v>155</v>
      </c>
      <c r="D26" s="6"/>
    </row>
    <row r="27" spans="1:4">
      <c r="A27" s="5" t="s">
        <v>124</v>
      </c>
      <c r="B27" s="5"/>
      <c r="C27" s="3" t="s">
        <v>156</v>
      </c>
      <c r="D27" s="6"/>
    </row>
    <row r="28" spans="1:4">
      <c r="A28" s="7" t="s">
        <v>125</v>
      </c>
      <c r="B28" s="7"/>
      <c r="C28" s="4" t="s">
        <v>159</v>
      </c>
      <c r="D28" s="6"/>
    </row>
    <row r="30" spans="1:4">
      <c r="A30" s="8" t="s">
        <v>120</v>
      </c>
      <c r="B30" s="9"/>
      <c r="C30" s="80">
        <v>0</v>
      </c>
      <c r="D30" s="10" t="s">
        <v>121</v>
      </c>
    </row>
    <row r="31" spans="1:4">
      <c r="A31" s="8" t="s">
        <v>126</v>
      </c>
      <c r="B31" s="9"/>
      <c r="C31" s="80">
        <v>0</v>
      </c>
      <c r="D31" s="11" t="s">
        <v>127</v>
      </c>
    </row>
    <row r="32" spans="1:4">
      <c r="A32" s="8" t="s">
        <v>128</v>
      </c>
      <c r="B32" s="9"/>
      <c r="C32" s="80">
        <v>0</v>
      </c>
      <c r="D32" s="8" t="s">
        <v>129</v>
      </c>
    </row>
    <row r="33" spans="1:4">
      <c r="A33" s="73" t="s">
        <v>85</v>
      </c>
      <c r="B33" s="12" t="s">
        <v>0</v>
      </c>
      <c r="C33" s="84">
        <v>0</v>
      </c>
      <c r="D33" s="10" t="s">
        <v>142</v>
      </c>
    </row>
    <row r="34" spans="1:4">
      <c r="A34" s="73" t="s">
        <v>86</v>
      </c>
      <c r="B34" s="12" t="s">
        <v>1</v>
      </c>
      <c r="C34" s="84">
        <v>0</v>
      </c>
      <c r="D34" s="10" t="s">
        <v>142</v>
      </c>
    </row>
    <row r="35" spans="1:4">
      <c r="A35" s="73" t="s">
        <v>87</v>
      </c>
      <c r="B35" s="12" t="s">
        <v>2</v>
      </c>
      <c r="C35" s="84">
        <v>0</v>
      </c>
      <c r="D35" s="10" t="s">
        <v>142</v>
      </c>
    </row>
    <row r="36" spans="1:4">
      <c r="A36" s="73" t="s">
        <v>88</v>
      </c>
      <c r="B36" s="12" t="s">
        <v>3</v>
      </c>
      <c r="C36" s="84">
        <v>0</v>
      </c>
      <c r="D36" s="10" t="s">
        <v>142</v>
      </c>
    </row>
    <row r="37" spans="1:4">
      <c r="A37" s="73" t="s">
        <v>89</v>
      </c>
      <c r="B37" s="12" t="s">
        <v>4</v>
      </c>
      <c r="C37" s="84">
        <v>0</v>
      </c>
      <c r="D37" s="10" t="s">
        <v>142</v>
      </c>
    </row>
    <row r="38" spans="1:4">
      <c r="A38" s="73" t="s">
        <v>90</v>
      </c>
      <c r="B38" s="12" t="s">
        <v>5</v>
      </c>
      <c r="C38" s="84">
        <v>0</v>
      </c>
      <c r="D38" s="10" t="s">
        <v>142</v>
      </c>
    </row>
    <row r="39" spans="1:4">
      <c r="A39" s="73" t="s">
        <v>91</v>
      </c>
      <c r="B39" s="12" t="s">
        <v>6</v>
      </c>
      <c r="C39" s="84">
        <v>0</v>
      </c>
      <c r="D39" s="10" t="s">
        <v>142</v>
      </c>
    </row>
    <row r="40" spans="1:4">
      <c r="A40" s="73" t="s">
        <v>92</v>
      </c>
      <c r="B40" s="12" t="s">
        <v>7</v>
      </c>
      <c r="C40" s="84">
        <v>0</v>
      </c>
      <c r="D40" s="10" t="s">
        <v>142</v>
      </c>
    </row>
    <row r="41" spans="1:4">
      <c r="A41" s="73" t="s">
        <v>140</v>
      </c>
      <c r="B41" s="12" t="s">
        <v>8</v>
      </c>
      <c r="C41" s="84">
        <v>0</v>
      </c>
      <c r="D41" s="10" t="s">
        <v>142</v>
      </c>
    </row>
    <row r="42" spans="1:4">
      <c r="A42" s="73" t="s">
        <v>93</v>
      </c>
      <c r="B42" s="12" t="s">
        <v>9</v>
      </c>
      <c r="C42" s="84">
        <v>0</v>
      </c>
      <c r="D42" s="10" t="s">
        <v>142</v>
      </c>
    </row>
    <row r="43" spans="1:4">
      <c r="A43" s="73" t="s">
        <v>94</v>
      </c>
      <c r="B43" s="12" t="s">
        <v>10</v>
      </c>
      <c r="C43" s="84">
        <v>0</v>
      </c>
      <c r="D43" s="10" t="s">
        <v>142</v>
      </c>
    </row>
    <row r="44" spans="1:4">
      <c r="A44" s="73" t="s">
        <v>95</v>
      </c>
      <c r="B44" s="12" t="s">
        <v>11</v>
      </c>
      <c r="C44" s="84">
        <v>0</v>
      </c>
      <c r="D44" s="10" t="s">
        <v>142</v>
      </c>
    </row>
    <row r="45" spans="1:4">
      <c r="A45" s="73" t="s">
        <v>96</v>
      </c>
      <c r="B45" s="12" t="s">
        <v>12</v>
      </c>
      <c r="C45" s="84">
        <v>0</v>
      </c>
      <c r="D45" s="10" t="s">
        <v>142</v>
      </c>
    </row>
    <row r="46" spans="1:4">
      <c r="A46" s="73" t="s">
        <v>97</v>
      </c>
      <c r="B46" s="12" t="s">
        <v>13</v>
      </c>
      <c r="C46" s="84">
        <v>0</v>
      </c>
      <c r="D46" s="10" t="s">
        <v>142</v>
      </c>
    </row>
    <row r="47" spans="1:4">
      <c r="A47" s="73" t="s">
        <v>98</v>
      </c>
      <c r="B47" s="12" t="s">
        <v>62</v>
      </c>
      <c r="C47" s="84">
        <v>0</v>
      </c>
      <c r="D47" s="10" t="s">
        <v>142</v>
      </c>
    </row>
    <row r="48" spans="1:4">
      <c r="A48" s="73" t="s">
        <v>99</v>
      </c>
      <c r="B48" s="12" t="s">
        <v>14</v>
      </c>
      <c r="C48" s="84">
        <v>0</v>
      </c>
      <c r="D48" s="10" t="s">
        <v>142</v>
      </c>
    </row>
    <row r="49" spans="1:4">
      <c r="A49" s="73" t="s">
        <v>100</v>
      </c>
      <c r="B49" s="12" t="s">
        <v>15</v>
      </c>
      <c r="C49" s="84">
        <v>0</v>
      </c>
      <c r="D49" s="10" t="s">
        <v>142</v>
      </c>
    </row>
    <row r="50" spans="1:4">
      <c r="A50" s="73" t="s">
        <v>101</v>
      </c>
      <c r="B50" s="12" t="s">
        <v>16</v>
      </c>
      <c r="C50" s="84">
        <v>0</v>
      </c>
      <c r="D50" s="10" t="s">
        <v>142</v>
      </c>
    </row>
    <row r="51" spans="1:4">
      <c r="A51" s="73" t="s">
        <v>102</v>
      </c>
      <c r="B51" s="12" t="s">
        <v>17</v>
      </c>
      <c r="C51" s="84">
        <v>0</v>
      </c>
      <c r="D51" s="10" t="s">
        <v>142</v>
      </c>
    </row>
    <row r="52" spans="1:4">
      <c r="A52" s="73" t="s">
        <v>103</v>
      </c>
      <c r="B52" s="12" t="s">
        <v>18</v>
      </c>
      <c r="C52" s="84">
        <v>0</v>
      </c>
      <c r="D52" s="10" t="s">
        <v>142</v>
      </c>
    </row>
    <row r="53" spans="1:4">
      <c r="A53" s="73" t="s">
        <v>104</v>
      </c>
      <c r="B53" s="12" t="s">
        <v>19</v>
      </c>
      <c r="C53" s="84">
        <v>0</v>
      </c>
      <c r="D53" s="10" t="s">
        <v>142</v>
      </c>
    </row>
    <row r="54" spans="1:4">
      <c r="A54" s="73" t="s">
        <v>105</v>
      </c>
      <c r="B54" s="12" t="s">
        <v>20</v>
      </c>
      <c r="C54" s="84">
        <v>0</v>
      </c>
      <c r="D54" s="10" t="s">
        <v>142</v>
      </c>
    </row>
    <row r="55" spans="1:4">
      <c r="A55" s="73" t="s">
        <v>106</v>
      </c>
      <c r="B55" s="12" t="s">
        <v>21</v>
      </c>
      <c r="C55" s="84">
        <v>0</v>
      </c>
      <c r="D55" s="10" t="s">
        <v>142</v>
      </c>
    </row>
    <row r="56" spans="1:4">
      <c r="A56" s="73" t="s">
        <v>107</v>
      </c>
      <c r="B56" s="12" t="s">
        <v>22</v>
      </c>
      <c r="C56" s="84">
        <v>0</v>
      </c>
      <c r="D56" s="10" t="s">
        <v>142</v>
      </c>
    </row>
    <row r="57" spans="1:4">
      <c r="A57" s="73" t="s">
        <v>108</v>
      </c>
      <c r="B57" s="12" t="s">
        <v>23</v>
      </c>
      <c r="C57" s="84">
        <v>0</v>
      </c>
      <c r="D57" s="10" t="s">
        <v>142</v>
      </c>
    </row>
    <row r="58" spans="1:4">
      <c r="A58" s="73" t="s">
        <v>109</v>
      </c>
      <c r="B58" s="12" t="s">
        <v>24</v>
      </c>
      <c r="C58" s="84">
        <v>0</v>
      </c>
      <c r="D58" s="10" t="s">
        <v>142</v>
      </c>
    </row>
    <row r="59" spans="1:4">
      <c r="A59" s="73" t="s">
        <v>110</v>
      </c>
      <c r="B59" s="12" t="s">
        <v>25</v>
      </c>
      <c r="C59" s="84">
        <v>0</v>
      </c>
      <c r="D59" s="10" t="s">
        <v>142</v>
      </c>
    </row>
    <row r="60" spans="1:4">
      <c r="A60" s="73" t="s">
        <v>111</v>
      </c>
      <c r="B60" s="12" t="s">
        <v>26</v>
      </c>
      <c r="C60" s="84">
        <v>0</v>
      </c>
      <c r="D60" s="10" t="s">
        <v>142</v>
      </c>
    </row>
    <row r="61" spans="1:4">
      <c r="A61" s="73" t="s">
        <v>112</v>
      </c>
      <c r="B61" s="12" t="s">
        <v>27</v>
      </c>
      <c r="C61" s="84">
        <v>0</v>
      </c>
      <c r="D61" s="10" t="s">
        <v>142</v>
      </c>
    </row>
    <row r="62" spans="1:4">
      <c r="A62" s="73" t="s">
        <v>113</v>
      </c>
      <c r="B62" s="12" t="s">
        <v>28</v>
      </c>
      <c r="C62" s="84">
        <v>0</v>
      </c>
      <c r="D62" s="10" t="s">
        <v>142</v>
      </c>
    </row>
    <row r="63" spans="1:4">
      <c r="A63" s="73" t="s">
        <v>114</v>
      </c>
      <c r="B63" s="12" t="s">
        <v>29</v>
      </c>
      <c r="C63" s="84">
        <v>0</v>
      </c>
      <c r="D63" s="10" t="s">
        <v>142</v>
      </c>
    </row>
    <row r="64" spans="1:4">
      <c r="A64" s="73" t="s">
        <v>115</v>
      </c>
      <c r="B64" s="12" t="s">
        <v>30</v>
      </c>
      <c r="C64" s="84">
        <v>0</v>
      </c>
      <c r="D64" s="10" t="s">
        <v>142</v>
      </c>
    </row>
    <row r="65" spans="1:4">
      <c r="A65" s="73" t="s">
        <v>116</v>
      </c>
      <c r="B65" s="12" t="s">
        <v>34</v>
      </c>
      <c r="C65" s="84">
        <v>0</v>
      </c>
      <c r="D65" s="10" t="s">
        <v>142</v>
      </c>
    </row>
    <row r="66" spans="1:4">
      <c r="A66" s="73" t="s">
        <v>117</v>
      </c>
      <c r="B66" s="12" t="s">
        <v>31</v>
      </c>
      <c r="C66" s="84">
        <v>0</v>
      </c>
      <c r="D66" s="10" t="s">
        <v>142</v>
      </c>
    </row>
    <row r="67" spans="1:4">
      <c r="A67" s="73" t="s">
        <v>118</v>
      </c>
      <c r="B67" s="12" t="s">
        <v>32</v>
      </c>
      <c r="C67" s="84">
        <v>0</v>
      </c>
      <c r="D67" s="10" t="s">
        <v>142</v>
      </c>
    </row>
    <row r="68" spans="1:4">
      <c r="A68" s="73" t="s">
        <v>119</v>
      </c>
      <c r="B68" s="12" t="s">
        <v>33</v>
      </c>
      <c r="C68" s="84">
        <v>0</v>
      </c>
      <c r="D68" s="10" t="s">
        <v>142</v>
      </c>
    </row>
    <row r="72" spans="1:4">
      <c r="A72" s="5"/>
      <c r="B72" s="5"/>
      <c r="C72" s="5"/>
      <c r="D72" s="5"/>
    </row>
    <row r="73" spans="1:4">
      <c r="A73" s="5"/>
      <c r="B73" s="5"/>
      <c r="C73" s="5"/>
      <c r="D73" s="5"/>
    </row>
    <row r="74" spans="1:4">
      <c r="A74" s="5"/>
      <c r="B74" s="5"/>
      <c r="C74" s="5"/>
      <c r="D74" s="5"/>
    </row>
    <row r="75" spans="1:4">
      <c r="A75" s="5"/>
      <c r="B75" s="5"/>
      <c r="C75" s="5"/>
      <c r="D75" s="5"/>
    </row>
  </sheetData>
  <sheetProtection password="F283" sheet="1" objects="1" scenarios="1" selectLockedCells="1"/>
  <mergeCells count="5">
    <mergeCell ref="A22:D23"/>
    <mergeCell ref="A9:D10"/>
    <mergeCell ref="A12:D13"/>
    <mergeCell ref="A15:D18"/>
    <mergeCell ref="A20:D20"/>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5"/>
  <sheetViews>
    <sheetView zoomScale="175" zoomScaleNormal="175" zoomScalePageLayoutView="175" workbookViewId="0"/>
  </sheetViews>
  <sheetFormatPr baseColWidth="10" defaultRowHeight="11" x14ac:dyDescent="0"/>
  <cols>
    <col min="1" max="1" width="11.875" style="13" customWidth="1"/>
    <col min="2" max="2" width="5.125" style="13" customWidth="1"/>
    <col min="3" max="3" width="7.75" style="13" customWidth="1"/>
    <col min="4" max="4" width="3.125" style="13" bestFit="1" customWidth="1"/>
    <col min="5" max="5" width="3.125" style="13" customWidth="1"/>
    <col min="6" max="8" width="10.875" style="13" customWidth="1"/>
    <col min="9" max="9" width="7.25" style="13" customWidth="1"/>
    <col min="10" max="10" width="9.375" style="13" customWidth="1"/>
    <col min="11" max="12" width="8.625" style="13" customWidth="1"/>
    <col min="13" max="13" width="2" style="13" customWidth="1"/>
    <col min="14" max="14" width="8.625" style="13" customWidth="1"/>
    <col min="15" max="15" width="11.375" style="13" bestFit="1" customWidth="1"/>
    <col min="16" max="16384" width="10.625" style="13"/>
  </cols>
  <sheetData>
    <row r="1" spans="1:20">
      <c r="A1" s="66" t="s">
        <v>132</v>
      </c>
      <c r="B1" s="66"/>
    </row>
    <row r="2" spans="1:20" ht="11" customHeight="1">
      <c r="A2" s="13" t="s">
        <v>36</v>
      </c>
      <c r="B2" s="107" t="str">
        <f>'Input Values'!C25</f>
        <v>Enter your name</v>
      </c>
      <c r="C2" s="108"/>
      <c r="D2" s="31"/>
      <c r="N2" s="104" t="s">
        <v>158</v>
      </c>
      <c r="O2" s="105"/>
      <c r="P2" s="106"/>
    </row>
    <row r="3" spans="1:20" ht="11" customHeight="1">
      <c r="A3" s="13" t="s">
        <v>37</v>
      </c>
      <c r="B3" s="107" t="str">
        <f>'Input Values'!C26</f>
        <v>Enter your email</v>
      </c>
      <c r="C3" s="108"/>
      <c r="D3" s="31"/>
      <c r="E3" s="14"/>
      <c r="N3" s="105"/>
      <c r="O3" s="105"/>
      <c r="P3" s="106"/>
    </row>
    <row r="4" spans="1:20" ht="11" customHeight="1">
      <c r="A4" s="13" t="s">
        <v>38</v>
      </c>
      <c r="B4" s="107" t="str">
        <f>'Input Values'!C27</f>
        <v>Enter ICP date</v>
      </c>
      <c r="C4" s="108"/>
      <c r="D4" s="31"/>
      <c r="E4" s="15"/>
      <c r="N4" s="105"/>
      <c r="O4" s="105"/>
      <c r="P4" s="106"/>
    </row>
    <row r="5" spans="1:20" ht="11" customHeight="1">
      <c r="A5" s="32" t="s">
        <v>41</v>
      </c>
      <c r="B5" s="107" t="str">
        <f>'Input Values'!C28</f>
        <v>Enter system vol. USG</v>
      </c>
      <c r="C5" s="108"/>
      <c r="D5" s="31"/>
      <c r="E5" s="15"/>
      <c r="N5" s="105"/>
      <c r="O5" s="105"/>
      <c r="P5" s="106"/>
    </row>
    <row r="6" spans="1:20" ht="11" customHeight="1">
      <c r="F6" s="99" t="s">
        <v>40</v>
      </c>
      <c r="G6" s="100"/>
      <c r="H6" s="101"/>
      <c r="N6" s="105"/>
      <c r="O6" s="105"/>
      <c r="P6" s="106"/>
    </row>
    <row r="7" spans="1:20" ht="11" customHeight="1">
      <c r="F7" s="17" t="s">
        <v>151</v>
      </c>
      <c r="G7" s="16" t="s">
        <v>152</v>
      </c>
      <c r="H7" s="17" t="s">
        <v>39</v>
      </c>
    </row>
    <row r="8" spans="1:20" ht="11" customHeight="1">
      <c r="A8" s="30"/>
      <c r="B8" s="18"/>
      <c r="D8" s="18"/>
      <c r="E8" s="18"/>
      <c r="F8" s="51">
        <f>F87/1000</f>
        <v>35.027954165060613</v>
      </c>
      <c r="G8" s="72">
        <f>G87/1000</f>
        <v>0</v>
      </c>
      <c r="H8" s="21" t="s">
        <v>65</v>
      </c>
      <c r="J8" s="22" t="s">
        <v>141</v>
      </c>
      <c r="K8" s="102" t="s">
        <v>66</v>
      </c>
      <c r="L8" s="103"/>
      <c r="M8" s="35"/>
      <c r="N8" s="102" t="s">
        <v>157</v>
      </c>
      <c r="O8" s="103"/>
    </row>
    <row r="9" spans="1:20" ht="11" customHeight="1">
      <c r="A9" s="29" t="s">
        <v>137</v>
      </c>
      <c r="B9" s="19" t="s">
        <v>138</v>
      </c>
      <c r="C9" s="95" t="s">
        <v>136</v>
      </c>
      <c r="D9" s="96"/>
      <c r="E9" s="19"/>
      <c r="F9" s="54">
        <f>F8</f>
        <v>35.027954165060613</v>
      </c>
      <c r="G9" s="54">
        <f>C87/1000</f>
        <v>0</v>
      </c>
      <c r="H9" s="62"/>
      <c r="I9" s="81" t="s">
        <v>153</v>
      </c>
      <c r="J9" s="46" t="s">
        <v>43</v>
      </c>
      <c r="K9" s="82" t="s">
        <v>67</v>
      </c>
      <c r="L9" s="82" t="s">
        <v>68</v>
      </c>
      <c r="M9" s="81"/>
      <c r="N9" s="82" t="s">
        <v>67</v>
      </c>
      <c r="O9" s="82" t="s">
        <v>68</v>
      </c>
      <c r="P9" s="83" t="s">
        <v>148</v>
      </c>
    </row>
    <row r="10" spans="1:20" ht="11" customHeight="1">
      <c r="A10" s="67" t="s">
        <v>85</v>
      </c>
      <c r="B10" s="39" t="s">
        <v>0</v>
      </c>
      <c r="C10" s="68">
        <f>'Input Values'!C33</f>
        <v>0</v>
      </c>
      <c r="D10" s="40" t="s">
        <v>142</v>
      </c>
      <c r="E10" s="40"/>
      <c r="F10" s="55">
        <v>8.0940000000000005E-4</v>
      </c>
      <c r="G10" s="57">
        <f>($G$9*1000)/$F$87*F10</f>
        <v>0</v>
      </c>
      <c r="H10" s="63" t="e">
        <f>(C10/G10)-1</f>
        <v>#DIV/0!</v>
      </c>
      <c r="I10" s="42" t="e">
        <f>IF(H10&lt;0,-($B$5*3.785)*(G10-F10),"Elevated")</f>
        <v>#DIV/0!</v>
      </c>
      <c r="J10" s="41" t="s">
        <v>42</v>
      </c>
      <c r="P10" s="97" t="s">
        <v>72</v>
      </c>
      <c r="Q10" s="98"/>
      <c r="R10" s="98"/>
      <c r="S10" s="98"/>
      <c r="T10" s="98"/>
    </row>
    <row r="11" spans="1:20" ht="11" customHeight="1">
      <c r="A11" s="69"/>
      <c r="B11" s="29"/>
      <c r="C11" s="26"/>
      <c r="D11" s="20"/>
      <c r="E11" s="20"/>
      <c r="F11" s="56"/>
      <c r="G11" s="58"/>
      <c r="H11" s="64"/>
      <c r="I11" s="23"/>
      <c r="J11" s="83"/>
      <c r="K11" s="44"/>
      <c r="L11" s="45"/>
      <c r="M11" s="45"/>
      <c r="N11" s="45"/>
      <c r="O11" s="45"/>
    </row>
    <row r="12" spans="1:20" ht="11" customHeight="1">
      <c r="A12" s="67" t="s">
        <v>86</v>
      </c>
      <c r="B12" s="39" t="s">
        <v>1</v>
      </c>
      <c r="C12" s="68">
        <f>'Input Values'!C34</f>
        <v>0</v>
      </c>
      <c r="D12" s="40" t="s">
        <v>142</v>
      </c>
      <c r="E12" s="40"/>
      <c r="F12" s="57">
        <v>1.7229999999999999E-3</v>
      </c>
      <c r="G12" s="57">
        <f>($G$9*1000)/$F$87*F12</f>
        <v>0</v>
      </c>
      <c r="H12" s="63" t="e">
        <f t="shared" ref="H12:H84" si="0">(C12/G12)-1</f>
        <v>#DIV/0!</v>
      </c>
      <c r="I12" s="43" t="e">
        <f>IF(H12&lt;0,-($B$5*3.785)*(G12-F12),"Elevated")</f>
        <v>#DIV/0!</v>
      </c>
      <c r="J12" s="41" t="s">
        <v>42</v>
      </c>
      <c r="P12" s="97" t="s">
        <v>73</v>
      </c>
      <c r="Q12" s="98"/>
      <c r="R12" s="98"/>
      <c r="S12" s="98"/>
      <c r="T12" s="98"/>
    </row>
    <row r="13" spans="1:20" ht="11" customHeight="1">
      <c r="A13" s="69"/>
      <c r="B13" s="29"/>
      <c r="C13" s="26"/>
      <c r="D13" s="20"/>
      <c r="E13" s="20"/>
      <c r="F13" s="58"/>
      <c r="G13" s="58"/>
      <c r="H13" s="64"/>
      <c r="I13" s="36"/>
      <c r="J13" s="83"/>
      <c r="K13" s="34"/>
      <c r="L13" s="35"/>
      <c r="M13" s="35"/>
      <c r="N13" s="35"/>
      <c r="O13" s="35"/>
    </row>
    <row r="14" spans="1:20" ht="11" customHeight="1">
      <c r="A14" s="67" t="s">
        <v>87</v>
      </c>
      <c r="B14" s="39" t="s">
        <v>2</v>
      </c>
      <c r="C14" s="68">
        <f>'Input Values'!C35</f>
        <v>0</v>
      </c>
      <c r="D14" s="40" t="s">
        <v>142</v>
      </c>
      <c r="E14" s="40"/>
      <c r="F14" s="57">
        <v>4.45</v>
      </c>
      <c r="G14" s="57">
        <f>($G$9*1000)/$F$87*F14</f>
        <v>0</v>
      </c>
      <c r="H14" s="63" t="e">
        <f t="shared" si="0"/>
        <v>#DIV/0!</v>
      </c>
      <c r="I14" s="42" t="e">
        <f>IF(H14&lt;0,-($B$5*3.785)*(G14-F14),"Elevated")</f>
        <v>#DIV/0!</v>
      </c>
      <c r="J14" s="41" t="s">
        <v>44</v>
      </c>
      <c r="K14" s="47" t="e">
        <f>IF(H14&lt;0,-($B$5*3.785)*(G14-F14)/44500*1000,"None Required")</f>
        <v>#DIV/0!</v>
      </c>
      <c r="L14" s="47" t="e">
        <f>IF(H14&lt;0,-($B$5*3.785)*(G14-F14)/44500*1000*20,"None Required")</f>
        <v>#DIV/0!</v>
      </c>
      <c r="M14" s="47"/>
      <c r="N14" s="48" t="e">
        <f>IF(H14&lt;0,-($B$5*3.785)*(G14-F14)/44500*1000/7*1.05,($B$5*3.785)*(G14-F14)/44500*1000/7*1.05)</f>
        <v>#DIV/0!</v>
      </c>
      <c r="O14" s="48" t="e">
        <f>ROUNDUP(N14/0.05,1)</f>
        <v>#DIV/0!</v>
      </c>
    </row>
    <row r="15" spans="1:20" ht="11" customHeight="1">
      <c r="A15" s="69"/>
      <c r="B15" s="29"/>
      <c r="C15" s="26"/>
      <c r="D15" s="20"/>
      <c r="E15" s="20"/>
      <c r="F15" s="58"/>
      <c r="G15" s="58"/>
      <c r="H15" s="64"/>
      <c r="I15" s="23"/>
      <c r="J15" s="83"/>
      <c r="K15" s="33"/>
      <c r="L15" s="33"/>
      <c r="M15" s="33"/>
      <c r="N15" s="37"/>
      <c r="O15" s="37"/>
    </row>
    <row r="16" spans="1:20" ht="11" customHeight="1">
      <c r="A16" s="67" t="s">
        <v>88</v>
      </c>
      <c r="B16" s="39" t="s">
        <v>3</v>
      </c>
      <c r="C16" s="68">
        <f>'Input Values'!C36</f>
        <v>0</v>
      </c>
      <c r="D16" s="40" t="s">
        <v>142</v>
      </c>
      <c r="E16" s="40"/>
      <c r="F16" s="57">
        <v>1.3729999999999999E-2</v>
      </c>
      <c r="G16" s="57">
        <f>($G$9*1000)/$F$87*F16</f>
        <v>0</v>
      </c>
      <c r="H16" s="63" t="e">
        <f t="shared" si="0"/>
        <v>#DIV/0!</v>
      </c>
      <c r="I16" s="42" t="e">
        <f>IF(H16&lt;0,-($B$5*3.785)*(G16-F16),"Elevated")</f>
        <v>#DIV/0!</v>
      </c>
      <c r="J16" s="41" t="s">
        <v>42</v>
      </c>
      <c r="P16" s="97" t="s">
        <v>74</v>
      </c>
      <c r="Q16" s="98"/>
      <c r="R16" s="98"/>
      <c r="S16" s="98"/>
      <c r="T16" s="98"/>
    </row>
    <row r="17" spans="1:20" ht="11" customHeight="1">
      <c r="A17" s="69"/>
      <c r="B17" s="29"/>
      <c r="C17" s="26"/>
      <c r="D17" s="20"/>
      <c r="E17" s="20"/>
      <c r="F17" s="58"/>
      <c r="G17" s="58"/>
      <c r="H17" s="64"/>
      <c r="I17" s="23"/>
      <c r="J17" s="83"/>
      <c r="K17" s="44"/>
      <c r="L17" s="45"/>
      <c r="M17" s="45"/>
      <c r="N17" s="45"/>
      <c r="O17" s="45"/>
    </row>
    <row r="18" spans="1:20" ht="11" customHeight="1">
      <c r="A18" s="67" t="s">
        <v>89</v>
      </c>
      <c r="B18" s="39" t="s">
        <v>4</v>
      </c>
      <c r="C18" s="68">
        <f>'Input Values'!C37</f>
        <v>0</v>
      </c>
      <c r="D18" s="40" t="s">
        <v>142</v>
      </c>
      <c r="E18" s="40"/>
      <c r="F18" s="57">
        <v>5.8579999999999996E-7</v>
      </c>
      <c r="G18" s="57">
        <f>($G$9*1000)/$F$87*F18</f>
        <v>0</v>
      </c>
      <c r="H18" s="63" t="e">
        <f t="shared" si="0"/>
        <v>#DIV/0!</v>
      </c>
      <c r="I18" s="42" t="e">
        <f>IF(H18&lt;0,-($B$5*3.785)*(G18-F18),"Elevated")</f>
        <v>#DIV/0!</v>
      </c>
      <c r="J18" s="41" t="s">
        <v>42</v>
      </c>
      <c r="P18" s="97" t="s">
        <v>75</v>
      </c>
      <c r="Q18" s="98"/>
      <c r="R18" s="98"/>
      <c r="S18" s="98"/>
      <c r="T18" s="98"/>
    </row>
    <row r="19" spans="1:20" ht="11" customHeight="1">
      <c r="A19" s="69"/>
      <c r="B19" s="29"/>
      <c r="C19" s="26"/>
      <c r="D19" s="20"/>
      <c r="E19" s="20"/>
      <c r="F19" s="58"/>
      <c r="G19" s="58"/>
      <c r="H19" s="64"/>
      <c r="I19" s="23"/>
      <c r="J19" s="83"/>
      <c r="K19" s="44"/>
      <c r="L19" s="45"/>
      <c r="M19" s="45"/>
      <c r="N19" s="45"/>
      <c r="O19" s="45"/>
    </row>
    <row r="20" spans="1:20" ht="11" customHeight="1">
      <c r="A20" s="67" t="s">
        <v>90</v>
      </c>
      <c r="B20" s="39" t="s">
        <v>5</v>
      </c>
      <c r="C20" s="68">
        <f>'Input Values'!C38</f>
        <v>0</v>
      </c>
      <c r="D20" s="40" t="s">
        <v>142</v>
      </c>
      <c r="E20" s="40"/>
      <c r="F20" s="57">
        <v>2.09E-5</v>
      </c>
      <c r="G20" s="57">
        <f>($G$9*1000)/$F$87*F20</f>
        <v>0</v>
      </c>
      <c r="H20" s="63" t="e">
        <f t="shared" si="0"/>
        <v>#DIV/0!</v>
      </c>
      <c r="I20" s="42" t="e">
        <f>IF(H20&lt;0,-($B$5*3.785)*(G20-F20),"Elevated")</f>
        <v>#DIV/0!</v>
      </c>
      <c r="J20" s="41" t="s">
        <v>42</v>
      </c>
      <c r="P20" s="97" t="s">
        <v>76</v>
      </c>
      <c r="Q20" s="98"/>
      <c r="R20" s="98"/>
      <c r="S20" s="98"/>
      <c r="T20" s="98"/>
    </row>
    <row r="21" spans="1:20" ht="11" customHeight="1">
      <c r="A21" s="69"/>
      <c r="B21" s="29"/>
      <c r="C21" s="26"/>
      <c r="D21" s="20"/>
      <c r="E21" s="20"/>
      <c r="F21" s="58"/>
      <c r="G21" s="58"/>
      <c r="H21" s="64"/>
      <c r="I21" s="23"/>
      <c r="J21" s="83"/>
      <c r="K21" s="34"/>
      <c r="L21" s="35"/>
      <c r="M21" s="35"/>
      <c r="N21" s="35"/>
      <c r="O21" s="35"/>
    </row>
    <row r="22" spans="1:20" ht="11" customHeight="1">
      <c r="A22" s="67" t="s">
        <v>91</v>
      </c>
      <c r="B22" s="39" t="s">
        <v>6</v>
      </c>
      <c r="C22" s="68">
        <f>'Input Values'!C39</f>
        <v>0</v>
      </c>
      <c r="D22" s="40" t="s">
        <v>142</v>
      </c>
      <c r="E22" s="40"/>
      <c r="F22" s="57">
        <v>67.12</v>
      </c>
      <c r="G22" s="57">
        <f>($G$9*1000)/$F$87*F22</f>
        <v>0</v>
      </c>
      <c r="H22" s="63" t="e">
        <f t="shared" si="0"/>
        <v>#DIV/0!</v>
      </c>
      <c r="I22" s="42" t="e">
        <f>IF(H22&lt;0,-($B$5*3.785)*(G22-F22),"Elevated")</f>
        <v>#DIV/0!</v>
      </c>
      <c r="J22" s="41" t="s">
        <v>45</v>
      </c>
      <c r="K22" s="47" t="e">
        <f>IF(H22&lt;0,-($B$5*3.785)*(G22-F22)/100000*1000,"None Required")</f>
        <v>#DIV/0!</v>
      </c>
      <c r="L22" s="47" t="e">
        <f>IF(H22&lt;0,-($B$5*3.785)*(G22-F22)/100000*1000*20,"None Required")</f>
        <v>#DIV/0!</v>
      </c>
      <c r="M22" s="47"/>
      <c r="N22" s="48" t="e">
        <f>IF(H22&lt;0,-($B$5*3.785)*(G22-F22)/100000*1000/7*1.05,($B$5*3.785)*(G22-F22)/100000*1000/7*1.05)</f>
        <v>#DIV/0!</v>
      </c>
      <c r="O22" s="48" t="e">
        <f>ROUNDUP(N22/0.05,1)</f>
        <v>#DIV/0!</v>
      </c>
    </row>
    <row r="23" spans="1:20" ht="11" customHeight="1">
      <c r="A23" s="69"/>
      <c r="B23" s="29"/>
      <c r="C23" s="26"/>
      <c r="D23" s="20"/>
      <c r="E23" s="20"/>
      <c r="F23" s="58"/>
      <c r="G23" s="58"/>
      <c r="H23" s="64"/>
      <c r="I23" s="23"/>
      <c r="J23" s="83"/>
      <c r="K23" s="33"/>
      <c r="L23" s="33"/>
      <c r="M23" s="33"/>
      <c r="N23" s="37"/>
      <c r="O23" s="37"/>
    </row>
    <row r="24" spans="1:20" ht="11" customHeight="1">
      <c r="A24" s="67" t="s">
        <v>92</v>
      </c>
      <c r="B24" s="39" t="s">
        <v>7</v>
      </c>
      <c r="C24" s="68">
        <f>'Input Values'!C40</f>
        <v>0</v>
      </c>
      <c r="D24" s="40" t="s">
        <v>142</v>
      </c>
      <c r="E24" s="40"/>
      <c r="F24" s="57">
        <v>412.1</v>
      </c>
      <c r="G24" s="57">
        <f>($G$9*1000)/$F$87*F24</f>
        <v>0</v>
      </c>
      <c r="H24" s="63" t="e">
        <f t="shared" si="0"/>
        <v>#DIV/0!</v>
      </c>
      <c r="I24" s="42" t="e">
        <f>IF(H24&lt;0,-($B$5*3.785)*(G24-F24),"Elevated")</f>
        <v>#DIV/0!</v>
      </c>
      <c r="J24" s="41" t="s">
        <v>46</v>
      </c>
      <c r="K24" s="47" t="e">
        <f>IF(H24&lt;0,-($B$5*3.785)*(G24-F24)/150250*1000,"None Required")</f>
        <v>#DIV/0!</v>
      </c>
      <c r="L24" s="47" t="e">
        <f>IF(H24&lt;0,-($B$5*3.785)*(G24-F24)/150250*1000*20,"None Required")</f>
        <v>#DIV/0!</v>
      </c>
      <c r="M24" s="47"/>
      <c r="N24" s="48" t="e">
        <f>IF(H24&lt;0,-($B$5*3.785)*(G24-F24)/150250*1000/7*1.05,($B$5*3.785)*(G24-F24)/150250*1000/7*1.05)</f>
        <v>#DIV/0!</v>
      </c>
      <c r="O24" s="48" t="e">
        <f>ROUNDUP(N24/0.05,1)</f>
        <v>#DIV/0!</v>
      </c>
    </row>
    <row r="25" spans="1:20" ht="11" customHeight="1">
      <c r="A25" s="67"/>
      <c r="B25" s="39"/>
      <c r="C25" s="68"/>
      <c r="D25" s="40"/>
      <c r="E25" s="40"/>
      <c r="F25" s="57"/>
      <c r="G25" s="57"/>
      <c r="H25" s="63"/>
      <c r="I25" s="42"/>
      <c r="J25" s="41" t="s">
        <v>64</v>
      </c>
      <c r="K25" s="47" t="e">
        <f>IF(H24&lt;0,-($B$5*3.785)*(G24-F24)/146500*1000,"None Required")</f>
        <v>#DIV/0!</v>
      </c>
      <c r="L25" s="47" t="e">
        <f>IF(H24&lt;0,-($B$5*3.785)*(G24-F24)/146500*1000*20,"None Required")</f>
        <v>#DIV/0!</v>
      </c>
      <c r="M25" s="47"/>
      <c r="N25" s="48" t="e">
        <f>IF(H24&lt;0,-($B$5*3.785)*(G24-F24)/146500*1000/7*1.05,($B$5*3.785)*(G24-F24)/146500*1000/7*1.05)</f>
        <v>#DIV/0!</v>
      </c>
      <c r="O25" s="48" t="e">
        <f>ROUNDUP(N25/0.05,1)</f>
        <v>#DIV/0!</v>
      </c>
    </row>
    <row r="26" spans="1:20" ht="11" customHeight="1">
      <c r="A26" s="67"/>
      <c r="B26" s="39"/>
      <c r="C26" s="68"/>
      <c r="D26" s="40"/>
      <c r="E26" s="40"/>
      <c r="F26" s="57"/>
      <c r="G26" s="57"/>
      <c r="H26" s="63"/>
      <c r="I26" s="42"/>
      <c r="J26" s="49" t="s">
        <v>69</v>
      </c>
      <c r="K26" s="47"/>
      <c r="L26" s="47"/>
      <c r="M26" s="47"/>
      <c r="N26" s="48"/>
      <c r="O26" s="48"/>
    </row>
    <row r="27" spans="1:20" ht="11" customHeight="1">
      <c r="A27" s="69"/>
      <c r="B27" s="29"/>
      <c r="C27" s="26"/>
      <c r="D27" s="20"/>
      <c r="E27" s="20"/>
      <c r="F27" s="58"/>
      <c r="G27" s="58"/>
      <c r="H27" s="64"/>
      <c r="I27" s="23"/>
      <c r="J27" s="24"/>
      <c r="K27" s="33"/>
      <c r="L27" s="33"/>
      <c r="M27" s="33"/>
      <c r="N27" s="37"/>
      <c r="O27" s="37"/>
    </row>
    <row r="28" spans="1:20" ht="11" customHeight="1">
      <c r="A28" s="67" t="s">
        <v>140</v>
      </c>
      <c r="B28" s="39" t="s">
        <v>8</v>
      </c>
      <c r="C28" s="68">
        <f>'Input Values'!C41</f>
        <v>0</v>
      </c>
      <c r="D28" s="40" t="s">
        <v>142</v>
      </c>
      <c r="E28" s="40"/>
      <c r="F28" s="57">
        <v>7.8689999999999994E-5</v>
      </c>
      <c r="G28" s="57">
        <f>($G$9*1000)/$F$87*F28</f>
        <v>0</v>
      </c>
      <c r="H28" s="63" t="e">
        <f t="shared" si="0"/>
        <v>#DIV/0!</v>
      </c>
      <c r="I28" s="42" t="e">
        <f>IF(H28&lt;0,-($B$5*3.785)*(G28-F28),"Elevated")</f>
        <v>#DIV/0!</v>
      </c>
      <c r="J28" s="41" t="s">
        <v>42</v>
      </c>
      <c r="P28" s="97" t="s">
        <v>77</v>
      </c>
      <c r="Q28" s="98"/>
      <c r="R28" s="98"/>
      <c r="S28" s="98"/>
      <c r="T28" s="98"/>
    </row>
    <row r="29" spans="1:20" ht="11" customHeight="1">
      <c r="A29" s="69"/>
      <c r="B29" s="29"/>
      <c r="C29" s="26"/>
      <c r="D29" s="20"/>
      <c r="E29" s="20"/>
      <c r="F29" s="58"/>
      <c r="G29" s="58"/>
      <c r="H29" s="64"/>
      <c r="I29" s="23"/>
      <c r="J29" s="83"/>
      <c r="K29" s="44"/>
      <c r="L29" s="45"/>
      <c r="M29" s="45"/>
      <c r="N29" s="45"/>
      <c r="O29" s="45"/>
    </row>
    <row r="30" spans="1:20" ht="11" customHeight="1">
      <c r="A30" s="67" t="s">
        <v>93</v>
      </c>
      <c r="B30" s="39" t="s">
        <v>9</v>
      </c>
      <c r="C30" s="68">
        <f>'Input Values'!C42</f>
        <v>0</v>
      </c>
      <c r="D30" s="40" t="s">
        <v>142</v>
      </c>
      <c r="E30" s="40"/>
      <c r="F30" s="57">
        <v>19352.900000000001</v>
      </c>
      <c r="G30" s="57">
        <f>($G$9*1000)/$F$87*F30</f>
        <v>0</v>
      </c>
      <c r="H30" s="63" t="e">
        <f t="shared" si="0"/>
        <v>#DIV/0!</v>
      </c>
      <c r="I30" s="42" t="e">
        <f>IF(H30&lt;0,-($B$5*3.785)*(G30-F30),"Elevated")</f>
        <v>#DIV/0!</v>
      </c>
      <c r="J30" s="41" t="s">
        <v>42</v>
      </c>
      <c r="P30" s="97" t="s">
        <v>70</v>
      </c>
      <c r="Q30" s="98"/>
      <c r="R30" s="98"/>
      <c r="S30" s="98"/>
      <c r="T30" s="98"/>
    </row>
    <row r="31" spans="1:20" ht="11" customHeight="1">
      <c r="A31" s="69"/>
      <c r="B31" s="29"/>
      <c r="C31" s="26"/>
      <c r="D31" s="20"/>
      <c r="E31" s="20"/>
      <c r="F31" s="58"/>
      <c r="G31" s="58"/>
      <c r="H31" s="64"/>
      <c r="I31" s="23"/>
      <c r="J31" s="83"/>
      <c r="K31" s="34"/>
      <c r="L31" s="35"/>
      <c r="M31" s="35"/>
      <c r="N31" s="35"/>
      <c r="O31" s="35"/>
    </row>
    <row r="32" spans="1:20" ht="11" customHeight="1">
      <c r="A32" s="67" t="s">
        <v>94</v>
      </c>
      <c r="B32" s="39" t="s">
        <v>10</v>
      </c>
      <c r="C32" s="68">
        <f>'Input Values'!C43</f>
        <v>0</v>
      </c>
      <c r="D32" s="40" t="s">
        <v>142</v>
      </c>
      <c r="E32" s="40"/>
      <c r="F32" s="57">
        <v>1.7680000000000001E-6</v>
      </c>
      <c r="G32" s="57">
        <f>($G$9*1000)/$F$87*F32</f>
        <v>0</v>
      </c>
      <c r="H32" s="63" t="e">
        <f t="shared" si="0"/>
        <v>#DIV/0!</v>
      </c>
      <c r="I32" s="42" t="e">
        <f>IF(H32&lt;0,-($B$5*3.785)*(G32-F32),"Elevated")</f>
        <v>#DIV/0!</v>
      </c>
      <c r="J32" s="41" t="s">
        <v>47</v>
      </c>
      <c r="K32" s="47" t="e">
        <f>IF(H32&lt;0,-($B$5*3.785)*(G32-F32)/1000*1000,"None Required")</f>
        <v>#DIV/0!</v>
      </c>
      <c r="L32" s="47" t="e">
        <f>IF(H32&lt;0,-($B$5*3.785)*(G32-F32)/1000*1000*20,"None Required")</f>
        <v>#DIV/0!</v>
      </c>
      <c r="M32" s="47"/>
      <c r="N32" s="48" t="e">
        <f>IF(H32&lt;0,-($B$5*3.785)*(G32-F32)/1000*1000/7*1.05,($B$5*3.785)*(G32-F32)/1000*1000/7*1.05)</f>
        <v>#DIV/0!</v>
      </c>
      <c r="O32" s="48" t="e">
        <f>ROUNDUP(N32/0.05,1)</f>
        <v>#DIV/0!</v>
      </c>
    </row>
    <row r="33" spans="1:20" ht="11" customHeight="1">
      <c r="A33" s="69"/>
      <c r="B33" s="29"/>
      <c r="C33" s="26"/>
      <c r="D33" s="20"/>
      <c r="E33" s="20"/>
      <c r="F33" s="58"/>
      <c r="G33" s="58"/>
      <c r="H33" s="64"/>
      <c r="I33" s="23"/>
      <c r="J33" s="83"/>
      <c r="K33" s="33"/>
      <c r="L33" s="33"/>
      <c r="M33" s="33"/>
      <c r="N33" s="37"/>
      <c r="O33" s="37"/>
    </row>
    <row r="34" spans="1:20" ht="11" customHeight="1">
      <c r="A34" s="67" t="s">
        <v>95</v>
      </c>
      <c r="B34" s="39" t="s">
        <v>11</v>
      </c>
      <c r="C34" s="68">
        <f>'Input Values'!C44</f>
        <v>0</v>
      </c>
      <c r="D34" s="40" t="s">
        <v>142</v>
      </c>
      <c r="E34" s="40"/>
      <c r="F34" s="57">
        <v>2.0799999999999999E-4</v>
      </c>
      <c r="G34" s="57">
        <f>($G$9*1000)/$F$87*F34</f>
        <v>0</v>
      </c>
      <c r="H34" s="63" t="e">
        <f t="shared" si="0"/>
        <v>#DIV/0!</v>
      </c>
      <c r="I34" s="42" t="e">
        <f>IF(H34&lt;0,-($B$5*3.785)*(G34-F34),"Elevated")</f>
        <v>#DIV/0!</v>
      </c>
      <c r="J34" s="41" t="s">
        <v>161</v>
      </c>
      <c r="K34" s="47" t="e">
        <f>IF(H34&lt;0,-($B$5*3.785)*(G34-F34)/1000*1000,"None Required")</f>
        <v>#DIV/0!</v>
      </c>
      <c r="L34" s="47" t="e">
        <f>IF(H34&lt;0,-($B$5*3.785)*(G34-F34)/1000*1000*20,"None Required")</f>
        <v>#DIV/0!</v>
      </c>
      <c r="M34" s="47"/>
      <c r="N34" s="48" t="e">
        <f>IF(H34&lt;0,-($B$5*3.785)*(G34-F34)/1000*1000/7*1.05,($B$5*3.785)*(G34-F34)/1000*1000/7*1.05)</f>
        <v>#DIV/0!</v>
      </c>
      <c r="O34" s="48" t="e">
        <f>ROUNDUP(N34/0.05,1)</f>
        <v>#DIV/0!</v>
      </c>
    </row>
    <row r="35" spans="1:20" ht="11" customHeight="1">
      <c r="A35" s="69"/>
      <c r="B35" s="29"/>
      <c r="C35" s="26"/>
      <c r="D35" s="20"/>
      <c r="E35" s="20"/>
      <c r="F35" s="58"/>
      <c r="G35" s="58"/>
      <c r="H35" s="64"/>
      <c r="I35" s="23"/>
      <c r="J35" s="83"/>
      <c r="K35" s="44"/>
      <c r="L35" s="45"/>
      <c r="M35" s="45"/>
      <c r="N35" s="45"/>
      <c r="O35" s="45"/>
    </row>
    <row r="36" spans="1:20" ht="11" customHeight="1">
      <c r="A36" s="67" t="s">
        <v>96</v>
      </c>
      <c r="B36" s="39" t="s">
        <v>12</v>
      </c>
      <c r="C36" s="68">
        <f>'Input Values'!C45</f>
        <v>0</v>
      </c>
      <c r="D36" s="40" t="s">
        <v>142</v>
      </c>
      <c r="E36" s="40"/>
      <c r="F36" s="57">
        <v>2.9240000000000001E-4</v>
      </c>
      <c r="G36" s="57">
        <f>($G$9*1000)/$F$87*F36</f>
        <v>0</v>
      </c>
      <c r="H36" s="63" t="e">
        <f t="shared" si="0"/>
        <v>#DIV/0!</v>
      </c>
      <c r="I36" s="42" t="e">
        <f>IF(H36&lt;0,-($B$5*3.785)*(G36-F36),"Elevated")</f>
        <v>#DIV/0!</v>
      </c>
      <c r="J36" s="41" t="s">
        <v>42</v>
      </c>
      <c r="P36" s="97" t="s">
        <v>78</v>
      </c>
      <c r="Q36" s="98"/>
      <c r="R36" s="98"/>
      <c r="S36" s="98"/>
      <c r="T36" s="98"/>
    </row>
    <row r="37" spans="1:20" ht="11" customHeight="1">
      <c r="A37" s="69"/>
      <c r="B37" s="29"/>
      <c r="C37" s="26"/>
      <c r="D37" s="20"/>
      <c r="E37" s="20"/>
      <c r="F37" s="58"/>
      <c r="G37" s="58"/>
      <c r="H37" s="64"/>
      <c r="I37" s="23"/>
      <c r="J37" s="83"/>
      <c r="K37" s="34"/>
      <c r="L37" s="35"/>
      <c r="M37" s="35"/>
      <c r="N37" s="35"/>
      <c r="O37" s="35"/>
    </row>
    <row r="38" spans="1:20" ht="11" customHeight="1">
      <c r="A38" s="67" t="s">
        <v>97</v>
      </c>
      <c r="B38" s="39" t="s">
        <v>13</v>
      </c>
      <c r="C38" s="68">
        <f>'Input Values'!C46</f>
        <v>0</v>
      </c>
      <c r="D38" s="40" t="s">
        <v>142</v>
      </c>
      <c r="E38" s="40"/>
      <c r="F38" s="57">
        <v>2.542E-4</v>
      </c>
      <c r="G38" s="57">
        <f>($G$9*1000)/$F$87*F38</f>
        <v>0</v>
      </c>
      <c r="H38" s="63" t="e">
        <f t="shared" si="0"/>
        <v>#DIV/0!</v>
      </c>
      <c r="I38" s="42" t="e">
        <f>IF(H38&lt;0,-($B$5*3.785)*(G38-F38),"Elevated")</f>
        <v>#DIV/0!</v>
      </c>
      <c r="J38" s="41" t="s">
        <v>48</v>
      </c>
      <c r="K38" s="47" t="e">
        <f>IF(H38&lt;0,-($B$5*3.785)*(G38-F38)/60560*1000,"None Required")</f>
        <v>#DIV/0!</v>
      </c>
      <c r="L38" s="47" t="e">
        <f>IF(H38&lt;0,-($B$5*3.785)*(G38-F38)/60560*1000*20,"None Required")</f>
        <v>#DIV/0!</v>
      </c>
      <c r="M38" s="47"/>
      <c r="N38" s="48" t="e">
        <f>IF(H38&lt;0,-($B$5*3.785)*(G38-F38)/60560*1000/7*1.05,($B$5*3.785)*(G38-F38)/60560*1000/7*1.05)</f>
        <v>#DIV/0!</v>
      </c>
      <c r="O38" s="48" t="e">
        <f>ROUNDUP(N38/0.05,1)</f>
        <v>#DIV/0!</v>
      </c>
    </row>
    <row r="39" spans="1:20" ht="11" customHeight="1">
      <c r="A39" s="69"/>
      <c r="B39" s="29"/>
      <c r="C39" s="26"/>
      <c r="D39" s="20"/>
      <c r="E39" s="20"/>
      <c r="F39" s="58"/>
      <c r="G39" s="58"/>
      <c r="H39" s="64"/>
      <c r="I39" s="23"/>
      <c r="J39" s="83"/>
      <c r="K39" s="33"/>
      <c r="L39" s="33"/>
      <c r="M39" s="33"/>
      <c r="N39" s="37"/>
      <c r="O39" s="37"/>
    </row>
    <row r="40" spans="1:20" ht="11" customHeight="1">
      <c r="A40" s="67" t="s">
        <v>98</v>
      </c>
      <c r="B40" s="39" t="s">
        <v>62</v>
      </c>
      <c r="C40" s="68">
        <f>'Input Values'!C47</f>
        <v>0</v>
      </c>
      <c r="D40" s="40" t="s">
        <v>142</v>
      </c>
      <c r="E40" s="40"/>
      <c r="F40" s="57">
        <v>1.292</v>
      </c>
      <c r="G40" s="57">
        <f>($G$9*1000)/$F$87*F40</f>
        <v>0</v>
      </c>
      <c r="H40" s="63" t="e">
        <f t="shared" si="0"/>
        <v>#DIV/0!</v>
      </c>
      <c r="I40" s="42" t="e">
        <f>IF(H40&lt;0,-($B$5*3.785)*(G40-F40),"Elevated")</f>
        <v>#DIV/0!</v>
      </c>
      <c r="J40" s="41" t="s">
        <v>63</v>
      </c>
      <c r="K40" s="47" t="e">
        <f>IF(H40&lt;0,-($B$5*3.785)*(G40-F40)/10000*1000,"None Required")</f>
        <v>#DIV/0!</v>
      </c>
      <c r="L40" s="47" t="e">
        <f>IF(H40&lt;0,-($B$5*3.785)*(G40-F40)/10000*1000*20,"None Required")</f>
        <v>#DIV/0!</v>
      </c>
      <c r="M40" s="47"/>
      <c r="N40" s="48" t="e">
        <f>IF(H40&lt;0,-($B$5*3.785)*(G40-F40)/10000*1000/7*1.05,($B$5*3.785)*(G40-F40)/10000*1000/7*1.05)</f>
        <v>#DIV/0!</v>
      </c>
      <c r="O40" s="48" t="e">
        <f>ROUNDUP(N40/0.05,1)</f>
        <v>#DIV/0!</v>
      </c>
    </row>
    <row r="41" spans="1:20" ht="11" customHeight="1">
      <c r="A41" s="69"/>
      <c r="B41" s="29"/>
      <c r="C41" s="26"/>
      <c r="D41" s="20"/>
      <c r="E41" s="20"/>
      <c r="F41" s="58"/>
      <c r="G41" s="58"/>
      <c r="H41" s="64"/>
      <c r="I41" s="23"/>
      <c r="J41" s="83"/>
      <c r="K41" s="33"/>
      <c r="L41" s="33"/>
      <c r="M41" s="33"/>
      <c r="N41" s="37"/>
      <c r="O41" s="37"/>
    </row>
    <row r="42" spans="1:20" ht="11" customHeight="1">
      <c r="A42" s="67" t="s">
        <v>99</v>
      </c>
      <c r="B42" s="39" t="s">
        <v>14</v>
      </c>
      <c r="C42" s="68">
        <f>'Input Values'!C48</f>
        <v>0</v>
      </c>
      <c r="D42" s="40" t="s">
        <v>142</v>
      </c>
      <c r="E42" s="40"/>
      <c r="F42" s="57">
        <v>5.5850000000000002E-5</v>
      </c>
      <c r="G42" s="57">
        <f>($G$9*1000)/$F$87*F42</f>
        <v>0</v>
      </c>
      <c r="H42" s="63" t="e">
        <f t="shared" si="0"/>
        <v>#DIV/0!</v>
      </c>
      <c r="I42" s="42" t="e">
        <f>IF(H42&lt;0,-($B$5*3.785)*(G42-F42),"Elevated")</f>
        <v>#DIV/0!</v>
      </c>
      <c r="J42" s="41" t="s">
        <v>49</v>
      </c>
      <c r="K42" s="47" t="e">
        <f>IF(H42&lt;0,-($B$5*3.785)*(G42-F42)/10000*1000,"None Required")</f>
        <v>#DIV/0!</v>
      </c>
      <c r="L42" s="47" t="e">
        <f>IF(H42&lt;0,-($B$5*3.785)*(G42-F42)/10000*1000*20,"None Required")</f>
        <v>#DIV/0!</v>
      </c>
      <c r="M42" s="47"/>
      <c r="N42" s="48" t="e">
        <f>IF(H42&lt;0,-($B$5*3.785)*(G42-F42)/10000*1000/7*1.05,($B$5*3.785)*(G42-F42)/10000*1000/7*1.05)</f>
        <v>#DIV/0!</v>
      </c>
      <c r="O42" s="48" t="e">
        <f>ROUNDUP(N42/0.05,1)</f>
        <v>#DIV/0!</v>
      </c>
    </row>
    <row r="43" spans="1:20" ht="11" customHeight="1">
      <c r="A43" s="69"/>
      <c r="B43" s="29"/>
      <c r="C43" s="26"/>
      <c r="D43" s="20"/>
      <c r="E43" s="20"/>
      <c r="F43" s="58"/>
      <c r="G43" s="58"/>
      <c r="H43" s="64"/>
      <c r="I43" s="23"/>
      <c r="J43" s="83"/>
      <c r="K43" s="33"/>
      <c r="L43" s="33"/>
      <c r="M43" s="33"/>
      <c r="N43" s="37"/>
      <c r="O43" s="37"/>
    </row>
    <row r="44" spans="1:20" ht="11" customHeight="1">
      <c r="A44" s="67" t="s">
        <v>100</v>
      </c>
      <c r="B44" s="39" t="s">
        <v>15</v>
      </c>
      <c r="C44" s="68">
        <f>'Input Values'!C49</f>
        <v>0</v>
      </c>
      <c r="D44" s="40" t="s">
        <v>142</v>
      </c>
      <c r="E44" s="40"/>
      <c r="F44" s="57">
        <v>2.092E-5</v>
      </c>
      <c r="G44" s="57">
        <f>($G$9*1000)/$F$87*F44</f>
        <v>0</v>
      </c>
      <c r="H44" s="63" t="e">
        <f t="shared" si="0"/>
        <v>#DIV/0!</v>
      </c>
      <c r="I44" s="42" t="e">
        <f>IF(H44&lt;0,-($B$5*3.785)*(G44-F44),"Elevated")</f>
        <v>#DIV/0!</v>
      </c>
      <c r="J44" s="41" t="s">
        <v>42</v>
      </c>
      <c r="P44" s="97" t="s">
        <v>79</v>
      </c>
      <c r="Q44" s="98"/>
      <c r="R44" s="98"/>
      <c r="S44" s="98"/>
      <c r="T44" s="98"/>
    </row>
    <row r="45" spans="1:20" ht="11" customHeight="1">
      <c r="A45" s="69"/>
      <c r="B45" s="29"/>
      <c r="C45" s="26"/>
      <c r="D45" s="20"/>
      <c r="E45" s="20"/>
      <c r="F45" s="58"/>
      <c r="G45" s="58"/>
      <c r="H45" s="64"/>
      <c r="I45" s="23"/>
      <c r="J45" s="83"/>
      <c r="K45" s="34"/>
      <c r="L45" s="35"/>
      <c r="M45" s="35"/>
      <c r="N45" s="35"/>
      <c r="O45" s="35"/>
    </row>
    <row r="46" spans="1:20" ht="11" customHeight="1">
      <c r="A46" s="67" t="s">
        <v>101</v>
      </c>
      <c r="B46" s="39" t="s">
        <v>16</v>
      </c>
      <c r="C46" s="68">
        <f>'Input Values'!C50</f>
        <v>0</v>
      </c>
      <c r="D46" s="40" t="s">
        <v>142</v>
      </c>
      <c r="E46" s="40"/>
      <c r="F46" s="57">
        <v>5.5840000000000001E-2</v>
      </c>
      <c r="G46" s="57">
        <f>($G$9*1000)/$F$87*F46</f>
        <v>0</v>
      </c>
      <c r="H46" s="63" t="e">
        <f t="shared" si="0"/>
        <v>#DIV/0!</v>
      </c>
      <c r="I46" s="42" t="e">
        <f>IF(H46&lt;0,-($B$5*3.785)*(G46-F46),"Elevated")</f>
        <v>#DIV/0!</v>
      </c>
      <c r="J46" s="41" t="s">
        <v>50</v>
      </c>
      <c r="K46" s="47" t="e">
        <f>IF(H46&lt;0,-($B$5*3.785)*(G46-F46)/100000*1000,"None Required")</f>
        <v>#DIV/0!</v>
      </c>
      <c r="L46" s="47" t="e">
        <f>IF(H46&lt;0,-($B$5*3.785)*(G46-F46)/100000*1000*20,"None Required")</f>
        <v>#DIV/0!</v>
      </c>
      <c r="M46" s="47"/>
      <c r="N46" s="48" t="e">
        <f>IF(H46&lt;0,-($B$5*3.785)*(G46-F46)/100000*1000/7*1.05,($B$5*3.785)*(G46-F46)/100000*1000/7*1.05)</f>
        <v>#DIV/0!</v>
      </c>
      <c r="O46" s="48" t="e">
        <f>ROUNDUP(N46/0.05,1)</f>
        <v>#DIV/0!</v>
      </c>
    </row>
    <row r="47" spans="1:20" ht="11" customHeight="1">
      <c r="A47" s="69"/>
      <c r="B47" s="29"/>
      <c r="C47" s="26"/>
      <c r="D47" s="20"/>
      <c r="E47" s="20"/>
      <c r="F47" s="58"/>
      <c r="G47" s="58"/>
      <c r="H47" s="64"/>
      <c r="I47" s="23"/>
      <c r="J47" s="83"/>
      <c r="K47" s="33"/>
      <c r="L47" s="33"/>
      <c r="M47" s="33"/>
      <c r="N47" s="37"/>
      <c r="O47" s="37"/>
    </row>
    <row r="48" spans="1:20" ht="11" customHeight="1">
      <c r="A48" s="67" t="s">
        <v>102</v>
      </c>
      <c r="B48" s="39" t="s">
        <v>17</v>
      </c>
      <c r="C48" s="68">
        <f>'Input Values'!C51</f>
        <v>0</v>
      </c>
      <c r="D48" s="40" t="s">
        <v>142</v>
      </c>
      <c r="E48" s="40"/>
      <c r="F48" s="57">
        <v>1.148E-7</v>
      </c>
      <c r="G48" s="57">
        <f>($G$9*1000)/$F$87*F48</f>
        <v>0</v>
      </c>
      <c r="H48" s="63" t="e">
        <f t="shared" si="0"/>
        <v>#DIV/0!</v>
      </c>
      <c r="I48" s="42" t="e">
        <f>IF(H48&lt;0,-($B$5*3.785)*(G48-F48),"Elevated")</f>
        <v>#DIV/0!</v>
      </c>
      <c r="J48" s="41" t="s">
        <v>42</v>
      </c>
      <c r="P48" s="97" t="s">
        <v>80</v>
      </c>
      <c r="Q48" s="98"/>
      <c r="R48" s="98"/>
      <c r="S48" s="98"/>
      <c r="T48" s="98"/>
    </row>
    <row r="49" spans="1:20" ht="11" customHeight="1">
      <c r="A49" s="69"/>
      <c r="B49" s="29"/>
      <c r="C49" s="26"/>
      <c r="D49" s="20"/>
      <c r="E49" s="20"/>
      <c r="F49" s="58"/>
      <c r="G49" s="58"/>
      <c r="H49" s="64"/>
      <c r="I49" s="23"/>
      <c r="J49" s="83"/>
      <c r="K49" s="34"/>
      <c r="L49" s="35"/>
      <c r="M49" s="35"/>
      <c r="N49" s="35"/>
      <c r="O49" s="35"/>
    </row>
    <row r="50" spans="1:20" ht="11" customHeight="1">
      <c r="A50" s="67" t="s">
        <v>103</v>
      </c>
      <c r="B50" s="39" t="s">
        <v>18</v>
      </c>
      <c r="C50" s="68">
        <f>'Input Values'!C52</f>
        <v>0</v>
      </c>
      <c r="D50" s="40" t="s">
        <v>142</v>
      </c>
      <c r="E50" s="40"/>
      <c r="F50" s="57">
        <v>399.1</v>
      </c>
      <c r="G50" s="57">
        <f>($G$9*1000)/$F$87*F50</f>
        <v>0</v>
      </c>
      <c r="H50" s="63" t="e">
        <f t="shared" si="0"/>
        <v>#DIV/0!</v>
      </c>
      <c r="I50" s="42" t="e">
        <f>IF(H50&lt;0,-($B$5*3.785)*(G50-F50),"Elevated")</f>
        <v>#DIV/0!</v>
      </c>
      <c r="J50" s="41" t="s">
        <v>51</v>
      </c>
      <c r="K50" s="47" t="e">
        <f>IF(H50&lt;0,-($B$5*3.785)*(G50-F50)/100000*1000,"None Required")</f>
        <v>#DIV/0!</v>
      </c>
      <c r="L50" s="47" t="e">
        <f>IF(H50&lt;0,-($B$5*3.785)*(G50-F50)/100000*1000*20,"None Required")</f>
        <v>#DIV/0!</v>
      </c>
      <c r="M50" s="47"/>
      <c r="N50" s="48" t="e">
        <f>IF(H50&lt;0,-($B$5*3.785)*(G50-F50)/100000*1000/7*1.05,($B$5*3.785)*(G50-F50)/100000*1000/7*1.05)</f>
        <v>#DIV/0!</v>
      </c>
      <c r="O50" s="48" t="e">
        <f>ROUNDUP(N50/0.05,1)</f>
        <v>#DIV/0!</v>
      </c>
    </row>
    <row r="51" spans="1:20" ht="11" customHeight="1">
      <c r="A51" s="69"/>
      <c r="B51" s="29"/>
      <c r="C51" s="26"/>
      <c r="D51" s="20"/>
      <c r="E51" s="20"/>
      <c r="F51" s="58"/>
      <c r="G51" s="58"/>
      <c r="H51" s="64"/>
      <c r="I51" s="23"/>
      <c r="J51" s="83"/>
      <c r="K51" s="33"/>
      <c r="L51" s="33"/>
      <c r="M51" s="33"/>
      <c r="N51" s="37"/>
      <c r="O51" s="37"/>
    </row>
    <row r="52" spans="1:20" ht="11" customHeight="1">
      <c r="A52" s="67" t="s">
        <v>104</v>
      </c>
      <c r="B52" s="39" t="s">
        <v>19</v>
      </c>
      <c r="C52" s="68">
        <f>'Input Values'!C53</f>
        <v>0</v>
      </c>
      <c r="D52" s="40" t="s">
        <v>142</v>
      </c>
      <c r="E52" s="40"/>
      <c r="F52" s="57">
        <v>0.17349999999999999</v>
      </c>
      <c r="G52" s="57">
        <f>($G$9*1000)/$F$87*F52</f>
        <v>0</v>
      </c>
      <c r="H52" s="63" t="e">
        <f t="shared" si="0"/>
        <v>#DIV/0!</v>
      </c>
      <c r="I52" s="42" t="e">
        <f>IF(H52&lt;0,-($B$5*3.785)*(G52-F52),"Elevated")</f>
        <v>#DIV/0!</v>
      </c>
      <c r="J52" s="41" t="s">
        <v>42</v>
      </c>
      <c r="P52" s="97" t="s">
        <v>81</v>
      </c>
      <c r="Q52" s="98"/>
      <c r="R52" s="98"/>
      <c r="S52" s="98"/>
      <c r="T52" s="98"/>
    </row>
    <row r="53" spans="1:20" ht="11" customHeight="1">
      <c r="A53" s="69"/>
      <c r="B53" s="29"/>
      <c r="C53" s="26"/>
      <c r="D53" s="20"/>
      <c r="E53" s="20"/>
      <c r="F53" s="58"/>
      <c r="G53" s="58"/>
      <c r="H53" s="64"/>
      <c r="I53" s="23"/>
      <c r="J53" s="83"/>
      <c r="K53" s="34"/>
      <c r="L53" s="35"/>
      <c r="M53" s="35"/>
      <c r="N53" s="35"/>
      <c r="O53" s="35"/>
    </row>
    <row r="54" spans="1:20" ht="11" customHeight="1">
      <c r="A54" s="67" t="s">
        <v>105</v>
      </c>
      <c r="B54" s="39" t="s">
        <v>20</v>
      </c>
      <c r="C54" s="68">
        <f>'Input Values'!C54</f>
        <v>0</v>
      </c>
      <c r="D54" s="40" t="s">
        <v>142</v>
      </c>
      <c r="E54" s="40"/>
      <c r="F54" s="57">
        <v>1283.7</v>
      </c>
      <c r="G54" s="57">
        <f>($G$9*1000)/$F$87*F54</f>
        <v>0</v>
      </c>
      <c r="H54" s="63" t="e">
        <f t="shared" si="0"/>
        <v>#DIV/0!</v>
      </c>
      <c r="I54" s="42" t="e">
        <f>IF(H54&lt;0,-($B$5*3.785)*(G54-F54),"Elevated")</f>
        <v>#DIV/0!</v>
      </c>
      <c r="J54" s="41" t="s">
        <v>52</v>
      </c>
      <c r="K54" s="47" t="e">
        <f>IF(H54&lt;0,-($B$5*3.785)*(G54-F54)/100000*1000,"None Required")</f>
        <v>#DIV/0!</v>
      </c>
      <c r="L54" s="47" t="e">
        <f>IF(H54&lt;0,-($B$5*3.785)*(G54-F54)/100000*1000*20,"None Required")</f>
        <v>#DIV/0!</v>
      </c>
      <c r="M54" s="47"/>
      <c r="N54" s="48" t="e">
        <f>IF(H54&lt;0,-($B$5*3.785)*(G54-F54)/100000*1000/7*1.05,($B$5*3.785)*(G54-F54)/100000*1000/7*1.05)</f>
        <v>#DIV/0!</v>
      </c>
      <c r="O54" s="48" t="e">
        <f>ROUNDUP(N54/0.05,1)</f>
        <v>#DIV/0!</v>
      </c>
    </row>
    <row r="55" spans="1:20" ht="11" customHeight="1">
      <c r="A55" s="69"/>
      <c r="B55" s="29"/>
      <c r="C55" s="26"/>
      <c r="D55" s="20"/>
      <c r="E55" s="20"/>
      <c r="F55" s="58"/>
      <c r="G55" s="58"/>
      <c r="H55" s="64"/>
      <c r="I55" s="23"/>
      <c r="J55" s="83"/>
      <c r="K55" s="33"/>
      <c r="L55" s="33"/>
      <c r="M55" s="33"/>
      <c r="N55" s="37"/>
      <c r="O55" s="37"/>
    </row>
    <row r="56" spans="1:20" ht="11" customHeight="1">
      <c r="A56" s="67" t="s">
        <v>106</v>
      </c>
      <c r="B56" s="39" t="s">
        <v>21</v>
      </c>
      <c r="C56" s="68">
        <f>'Input Values'!C55</f>
        <v>0</v>
      </c>
      <c r="D56" s="40" t="s">
        <v>142</v>
      </c>
      <c r="E56" s="40"/>
      <c r="F56" s="57">
        <v>2.7470000000000001E-4</v>
      </c>
      <c r="G56" s="57">
        <f>($G$9*1000)/$F$87*F56</f>
        <v>0</v>
      </c>
      <c r="H56" s="63" t="e">
        <f t="shared" si="0"/>
        <v>#DIV/0!</v>
      </c>
      <c r="I56" s="42" t="e">
        <f>IF(H56&lt;0,-($B$5*3.785)*(G56-F56),"Elevated")</f>
        <v>#DIV/0!</v>
      </c>
      <c r="J56" s="41" t="s">
        <v>53</v>
      </c>
      <c r="K56" s="47" t="e">
        <f>IF(H56&lt;0,-($B$5*3.785)*(G56-F56)/1000*1000,"None Required")</f>
        <v>#DIV/0!</v>
      </c>
      <c r="L56" s="47" t="e">
        <f>IF(H56&lt;0,-($B$5*3.785)*(G56-F56)/1000*1000*20,"None Required")</f>
        <v>#DIV/0!</v>
      </c>
      <c r="M56" s="47"/>
      <c r="N56" s="48" t="e">
        <f>IF(H56&lt;0,-($B$5*3.785)*(G56-F56)/1000*1000/7*1.05,($B$5*3.785)*(G56-F56)/1000*1000/7*1.05)</f>
        <v>#DIV/0!</v>
      </c>
      <c r="O56" s="48" t="e">
        <f>ROUNDUP(N56/0.05,1)</f>
        <v>#DIV/0!</v>
      </c>
    </row>
    <row r="57" spans="1:20" ht="11" customHeight="1">
      <c r="A57" s="69"/>
      <c r="B57" s="29"/>
      <c r="C57" s="26"/>
      <c r="D57" s="20"/>
      <c r="E57" s="20"/>
      <c r="F57" s="58"/>
      <c r="G57" s="58"/>
      <c r="H57" s="64"/>
      <c r="I57" s="23"/>
      <c r="J57" s="83"/>
      <c r="K57" s="33"/>
      <c r="L57" s="33"/>
      <c r="M57" s="33"/>
      <c r="N57" s="37"/>
      <c r="O57" s="37"/>
    </row>
    <row r="58" spans="1:20" ht="11" customHeight="1">
      <c r="A58" s="67" t="s">
        <v>107</v>
      </c>
      <c r="B58" s="39" t="s">
        <v>22</v>
      </c>
      <c r="C58" s="68">
        <f>'Input Values'!C56</f>
        <v>0</v>
      </c>
      <c r="D58" s="40" t="s">
        <v>142</v>
      </c>
      <c r="E58" s="40"/>
      <c r="F58" s="57">
        <v>1.055E-2</v>
      </c>
      <c r="G58" s="57">
        <f>($G$9*1000)/$F$87*F58</f>
        <v>0</v>
      </c>
      <c r="H58" s="63" t="e">
        <f t="shared" si="0"/>
        <v>#DIV/0!</v>
      </c>
      <c r="I58" s="42" t="e">
        <f>IF(H58&lt;0,-($B$5*3.785)*(G58-F58),"Elevated")</f>
        <v>#DIV/0!</v>
      </c>
      <c r="J58" s="41" t="s">
        <v>54</v>
      </c>
      <c r="K58" s="47" t="e">
        <f>IF(H58&lt;0,-($B$5*3.785)*(G58-F58)/10000*1000,"None Required")</f>
        <v>#DIV/0!</v>
      </c>
      <c r="L58" s="47" t="e">
        <f>IF(H58&lt;0,-($B$5*3.785)*(G58-F58)/10000*1000*20,"None Required")</f>
        <v>#DIV/0!</v>
      </c>
      <c r="M58" s="47"/>
      <c r="N58" s="48" t="e">
        <f>IF(H58&lt;0,-($B$5*3.785)*(G58-F58)/10000*1000/7*1.05,($B$5*3.785)*(G58-F58)/10000*1000/7*1.05)</f>
        <v>#DIV/0!</v>
      </c>
      <c r="O58" s="48" t="e">
        <f>ROUNDUP(N58/0.05,1)</f>
        <v>#DIV/0!</v>
      </c>
    </row>
    <row r="59" spans="1:20" ht="11" customHeight="1">
      <c r="A59" s="69"/>
      <c r="B59" s="29"/>
      <c r="C59" s="26"/>
      <c r="D59" s="20"/>
      <c r="E59" s="20"/>
      <c r="F59" s="58"/>
      <c r="G59" s="58"/>
      <c r="H59" s="64"/>
      <c r="I59" s="23"/>
      <c r="J59" s="83"/>
      <c r="K59" s="33"/>
      <c r="L59" s="33"/>
      <c r="M59" s="33"/>
      <c r="N59" s="37"/>
      <c r="O59" s="37"/>
    </row>
    <row r="60" spans="1:20" ht="11" customHeight="1">
      <c r="A60" s="67" t="s">
        <v>108</v>
      </c>
      <c r="B60" s="39" t="s">
        <v>23</v>
      </c>
      <c r="C60" s="68">
        <f>'Input Values'!C57</f>
        <v>0</v>
      </c>
      <c r="D60" s="40" t="s">
        <v>142</v>
      </c>
      <c r="E60" s="40"/>
      <c r="F60" s="57">
        <v>10783.8</v>
      </c>
      <c r="G60" s="57">
        <f>($G$9*1000)/$F$87*F60</f>
        <v>0</v>
      </c>
      <c r="H60" s="63" t="e">
        <f t="shared" si="0"/>
        <v>#DIV/0!</v>
      </c>
      <c r="I60" s="42" t="e">
        <f>IF(H60&lt;0,-($B$5*3.785)*(G60-F60),"Elevated")</f>
        <v>#DIV/0!</v>
      </c>
      <c r="J60" s="41" t="s">
        <v>42</v>
      </c>
      <c r="P60" s="97" t="s">
        <v>71</v>
      </c>
      <c r="Q60" s="98"/>
      <c r="R60" s="98"/>
      <c r="S60" s="98"/>
      <c r="T60" s="98"/>
    </row>
    <row r="61" spans="1:20" ht="11" customHeight="1">
      <c r="A61" s="69"/>
      <c r="B61" s="29"/>
      <c r="C61" s="26"/>
      <c r="D61" s="20"/>
      <c r="E61" s="20"/>
      <c r="F61" s="58"/>
      <c r="G61" s="58"/>
      <c r="H61" s="64"/>
      <c r="I61" s="23"/>
      <c r="J61" s="83"/>
      <c r="K61" s="34"/>
      <c r="L61" s="35"/>
      <c r="M61" s="35"/>
      <c r="N61" s="35"/>
      <c r="O61" s="35"/>
    </row>
    <row r="62" spans="1:20" ht="11" customHeight="1">
      <c r="A62" s="67" t="s">
        <v>109</v>
      </c>
      <c r="B62" s="39" t="s">
        <v>24</v>
      </c>
      <c r="C62" s="68">
        <f>'Input Values'!C58</f>
        <v>0</v>
      </c>
      <c r="D62" s="40" t="s">
        <v>142</v>
      </c>
      <c r="E62" s="40"/>
      <c r="F62" s="57">
        <v>4.6949999999999997E-4</v>
      </c>
      <c r="G62" s="57">
        <f>($G$9*1000)/$F$87*F62</f>
        <v>0</v>
      </c>
      <c r="H62" s="63" t="e">
        <f t="shared" si="0"/>
        <v>#DIV/0!</v>
      </c>
      <c r="I62" s="42" t="e">
        <f>IF(H62&lt;0,-($B$5*3.785)*(G62-F62),"Elevated")</f>
        <v>#DIV/0!</v>
      </c>
      <c r="J62" s="41" t="s">
        <v>55</v>
      </c>
      <c r="K62" s="47" t="e">
        <f>IF(H62&lt;0,-($B$5*3.785)*(G62-F62)/1000*1000,"None Required")</f>
        <v>#DIV/0!</v>
      </c>
      <c r="L62" s="47" t="e">
        <f>IF(H62&lt;0,-($B$5*3.785)*(G62-F62)/1000*1000*20,"None Required")</f>
        <v>#DIV/0!</v>
      </c>
      <c r="M62" s="47"/>
      <c r="N62" s="48" t="e">
        <f>IF(H62&lt;0,-($B$5*3.785)*(G62-F62)/1000*1000/7*1.05,($B$5*3.785)*(G62-F62)/1000*1000/7*1.05)</f>
        <v>#DIV/0!</v>
      </c>
      <c r="O62" s="48" t="e">
        <f>ROUNDUP(N62/0.05,1)</f>
        <v>#DIV/0!</v>
      </c>
    </row>
    <row r="63" spans="1:20" ht="11" customHeight="1">
      <c r="A63" s="69"/>
      <c r="B63" s="29"/>
      <c r="C63" s="26"/>
      <c r="D63" s="20"/>
      <c r="E63" s="20"/>
      <c r="F63" s="58"/>
      <c r="G63" s="58"/>
      <c r="H63" s="64"/>
      <c r="I63" s="23"/>
      <c r="J63" s="83"/>
      <c r="K63" s="33"/>
      <c r="L63" s="33"/>
      <c r="M63" s="33"/>
      <c r="N63" s="37"/>
      <c r="O63" s="37"/>
    </row>
    <row r="64" spans="1:20" ht="11" customHeight="1">
      <c r="A64" s="67" t="s">
        <v>110</v>
      </c>
      <c r="B64" s="39" t="s">
        <v>25</v>
      </c>
      <c r="C64" s="68">
        <f>'Input Values'!C59</f>
        <v>0</v>
      </c>
      <c r="D64" s="40" t="s">
        <v>142</v>
      </c>
      <c r="E64" s="40"/>
      <c r="F64" s="57">
        <v>2.0719999999999998E-6</v>
      </c>
      <c r="G64" s="57">
        <f>($G$9*1000)/$F$87*F64</f>
        <v>0</v>
      </c>
      <c r="H64" s="63" t="e">
        <f t="shared" si="0"/>
        <v>#DIV/0!</v>
      </c>
      <c r="I64" s="42" t="e">
        <f>IF(H64&lt;0,-($B$5*3.785)*(G64-F64),"Elevated")</f>
        <v>#DIV/0!</v>
      </c>
      <c r="J64" s="41" t="s">
        <v>42</v>
      </c>
      <c r="P64" s="97" t="s">
        <v>82</v>
      </c>
      <c r="Q64" s="98"/>
      <c r="R64" s="98"/>
      <c r="S64" s="98"/>
      <c r="T64" s="98"/>
    </row>
    <row r="65" spans="1:20" ht="11" customHeight="1">
      <c r="A65" s="69"/>
      <c r="B65" s="29"/>
      <c r="C65" s="26"/>
      <c r="D65" s="20"/>
      <c r="E65" s="20"/>
      <c r="F65" s="58"/>
      <c r="G65" s="58"/>
      <c r="H65" s="64"/>
      <c r="I65" s="23"/>
      <c r="J65" s="83"/>
      <c r="K65" s="34"/>
      <c r="L65" s="35"/>
      <c r="M65" s="35"/>
      <c r="N65" s="35"/>
      <c r="O65" s="35"/>
    </row>
    <row r="66" spans="1:20" ht="11" customHeight="1">
      <c r="A66" s="67" t="s">
        <v>111</v>
      </c>
      <c r="B66" s="39" t="s">
        <v>26</v>
      </c>
      <c r="C66" s="68">
        <f>'Input Values'!C60</f>
        <v>0</v>
      </c>
      <c r="D66" s="40" t="s">
        <v>142</v>
      </c>
      <c r="E66" s="40"/>
      <c r="F66" s="57">
        <v>0.1197</v>
      </c>
      <c r="G66" s="57">
        <f>($G$9*1000)/$F$87*F66</f>
        <v>0</v>
      </c>
      <c r="H66" s="63" t="e">
        <f t="shared" si="0"/>
        <v>#DIV/0!</v>
      </c>
      <c r="I66" s="42" t="e">
        <f>IF(H66&lt;0,-($B$5*3.785)*(G66-F66),"Elevated")</f>
        <v>#DIV/0!</v>
      </c>
      <c r="J66" s="41" t="s">
        <v>56</v>
      </c>
      <c r="K66" s="47" t="e">
        <f>IF(H66&lt;0,-($B$5*3.785)*(G66-F66)/10000*1000,"None Required")</f>
        <v>#DIV/0!</v>
      </c>
      <c r="L66" s="47" t="e">
        <f>IF(H66&lt;0,-($B$5*3.785)*(G66-F66)/10000*1000*20,"None Required")</f>
        <v>#DIV/0!</v>
      </c>
      <c r="M66" s="47"/>
      <c r="N66" s="48" t="e">
        <f>IF(H66&lt;0,-($B$5*3.785)*(G66-F66)/10000*1000/7*1.05,($B$5*3.785)*(G66-F66)/10000*1000/7*1.05)</f>
        <v>#DIV/0!</v>
      </c>
      <c r="O66" s="48" t="e">
        <f>ROUNDUP(N66/0.05,1)</f>
        <v>#DIV/0!</v>
      </c>
    </row>
    <row r="67" spans="1:20" ht="11" customHeight="1">
      <c r="A67" s="69"/>
      <c r="B67" s="29"/>
      <c r="C67" s="26"/>
      <c r="D67" s="20"/>
      <c r="E67" s="20"/>
      <c r="F67" s="58"/>
      <c r="G67" s="58"/>
      <c r="H67" s="64"/>
      <c r="I67" s="23"/>
      <c r="J67" s="83"/>
      <c r="K67" s="33"/>
      <c r="L67" s="33"/>
      <c r="M67" s="33"/>
      <c r="N67" s="37"/>
      <c r="O67" s="37"/>
    </row>
    <row r="68" spans="1:20" ht="11" customHeight="1">
      <c r="A68" s="67" t="s">
        <v>112</v>
      </c>
      <c r="B68" s="39" t="s">
        <v>27</v>
      </c>
      <c r="C68" s="68">
        <f>'Input Values'!C61</f>
        <v>0</v>
      </c>
      <c r="D68" s="40" t="s">
        <v>142</v>
      </c>
      <c r="E68" s="40"/>
      <c r="F68" s="57">
        <v>905.37947099999997</v>
      </c>
      <c r="G68" s="57">
        <f>($G$9*1000)/$F$87*F68</f>
        <v>0</v>
      </c>
      <c r="H68" s="63" t="e">
        <f t="shared" si="0"/>
        <v>#DIV/0!</v>
      </c>
      <c r="I68" s="42" t="e">
        <f>IF(H68&lt;0,-($B$5*3.785)*(G68-F68),"Elevated")</f>
        <v>#DIV/0!</v>
      </c>
      <c r="J68" s="41" t="s">
        <v>42</v>
      </c>
      <c r="P68" s="93" t="s">
        <v>147</v>
      </c>
      <c r="Q68" s="93"/>
      <c r="R68" s="93"/>
      <c r="S68" s="93"/>
      <c r="T68" s="93"/>
    </row>
    <row r="69" spans="1:20" ht="11" customHeight="1">
      <c r="A69" s="69"/>
      <c r="B69" s="29"/>
      <c r="C69" s="26"/>
      <c r="D69" s="20"/>
      <c r="E69" s="20"/>
      <c r="F69" s="58"/>
      <c r="G69" s="58"/>
      <c r="H69" s="64"/>
      <c r="I69" s="23"/>
      <c r="J69" s="83"/>
      <c r="K69" s="34"/>
      <c r="L69" s="34"/>
      <c r="M69" s="34"/>
      <c r="N69" s="34"/>
      <c r="O69" s="34"/>
    </row>
    <row r="70" spans="1:20" ht="11" customHeight="1">
      <c r="A70" s="67" t="s">
        <v>113</v>
      </c>
      <c r="B70" s="39" t="s">
        <v>28</v>
      </c>
      <c r="C70" s="68">
        <f>'Input Values'!C62</f>
        <v>0</v>
      </c>
      <c r="D70" s="40" t="s">
        <v>142</v>
      </c>
      <c r="E70" s="40"/>
      <c r="F70" s="57">
        <v>1.3420000000000001E-4</v>
      </c>
      <c r="G70" s="57">
        <f>($G$9*1000)/$F$87*F70</f>
        <v>0</v>
      </c>
      <c r="H70" s="63" t="e">
        <f t="shared" si="0"/>
        <v>#DIV/0!</v>
      </c>
      <c r="I70" s="42" t="e">
        <f>IF(H70&lt;0,-($B$5*3.785)*(G70-F70),"Elevated")</f>
        <v>#DIV/0!</v>
      </c>
      <c r="J70" s="41" t="s">
        <v>57</v>
      </c>
      <c r="K70" s="47" t="e">
        <f>IF(H70&lt;0,-($B$5*3.785)*(G70-F70)/250*1000,"None Required")</f>
        <v>#DIV/0!</v>
      </c>
      <c r="L70" s="47" t="e">
        <f>IF(H70&lt;0,-($B$5*3.785)*(G70-F70)/250*1000*20,"None Required")</f>
        <v>#DIV/0!</v>
      </c>
      <c r="M70" s="47"/>
      <c r="N70" s="48" t="e">
        <f>IF(H70&lt;0,-($B$5*3.785)*(G70-F70)/250*1000/7*1.05,($B$5*3.785)*(G70-F70)/250*1000/7*1.05)</f>
        <v>#DIV/0!</v>
      </c>
      <c r="O70" s="48" t="e">
        <f>ROUNDUP(N70/0.05,1)</f>
        <v>#DIV/0!</v>
      </c>
    </row>
    <row r="71" spans="1:20" ht="11" customHeight="1">
      <c r="A71" s="69"/>
      <c r="B71" s="29"/>
      <c r="C71" s="26"/>
      <c r="D71" s="20"/>
      <c r="E71" s="20"/>
      <c r="F71" s="58"/>
      <c r="G71" s="58"/>
      <c r="H71" s="64"/>
      <c r="I71" s="23"/>
      <c r="J71" s="83"/>
      <c r="K71" s="33"/>
      <c r="L71" s="33"/>
      <c r="M71" s="33"/>
      <c r="N71" s="37"/>
      <c r="O71" s="37"/>
    </row>
    <row r="72" spans="1:20" ht="11" customHeight="1">
      <c r="A72" s="67" t="s">
        <v>114</v>
      </c>
      <c r="B72" s="39" t="s">
        <v>29</v>
      </c>
      <c r="C72" s="68">
        <f>'Input Values'!C63</f>
        <v>0</v>
      </c>
      <c r="D72" s="40" t="s">
        <v>142</v>
      </c>
      <c r="E72" s="40"/>
      <c r="F72" s="57">
        <v>2.8090000000000002</v>
      </c>
      <c r="G72" s="57">
        <f>($G$9*1000)/$F$87*F72</f>
        <v>0</v>
      </c>
      <c r="H72" s="63" t="e">
        <f t="shared" si="0"/>
        <v>#DIV/0!</v>
      </c>
      <c r="I72" s="42" t="e">
        <f>IF(H72&lt;0,-($B$5*3.785)*(G72-F72),"Elevated")</f>
        <v>#DIV/0!</v>
      </c>
      <c r="J72" s="41" t="s">
        <v>58</v>
      </c>
      <c r="K72" s="47" t="e">
        <f>IF(H72&lt;0,-($B$5*3.785)*(G72-F72)/10000*1000,"None Required")</f>
        <v>#DIV/0!</v>
      </c>
      <c r="L72" s="47" t="e">
        <f>IF(H72&lt;0,-($B$5*3.785)*(G72-F72)/10000*1000*20,"None Required")</f>
        <v>#DIV/0!</v>
      </c>
      <c r="M72" s="47"/>
      <c r="N72" s="48" t="e">
        <f>IF(H72&lt;0,-($B$5*3.785)*(G72-F72)/10000*1000/7*1.05,($B$5*3.785)*(G72-F72)/10000*1000/7*1.05)</f>
        <v>#DIV/0!</v>
      </c>
      <c r="O72" s="48" t="e">
        <f>ROUNDUP(N72/0.05,1)</f>
        <v>#DIV/0!</v>
      </c>
    </row>
    <row r="73" spans="1:20" ht="11" customHeight="1">
      <c r="A73" s="69"/>
      <c r="B73" s="29"/>
      <c r="C73" s="26"/>
      <c r="D73" s="20"/>
      <c r="E73" s="20"/>
      <c r="F73" s="58"/>
      <c r="G73" s="58"/>
      <c r="H73" s="64"/>
      <c r="I73" s="23"/>
      <c r="J73" s="83"/>
      <c r="K73" s="33"/>
      <c r="L73" s="33"/>
      <c r="M73" s="33"/>
      <c r="N73" s="37"/>
      <c r="O73" s="37"/>
    </row>
    <row r="74" spans="1:20" ht="11" customHeight="1">
      <c r="A74" s="67" t="s">
        <v>115</v>
      </c>
      <c r="B74" s="39" t="s">
        <v>30</v>
      </c>
      <c r="C74" s="68">
        <f>'Input Values'!C64</f>
        <v>0</v>
      </c>
      <c r="D74" s="40" t="s">
        <v>142</v>
      </c>
      <c r="E74" s="40"/>
      <c r="F74" s="57">
        <v>7.9</v>
      </c>
      <c r="G74" s="57">
        <f>($G$9*1000)/$F$87*F74</f>
        <v>0</v>
      </c>
      <c r="H74" s="63" t="e">
        <f t="shared" si="0"/>
        <v>#DIV/0!</v>
      </c>
      <c r="I74" s="42" t="e">
        <f>IF(H74&lt;0,-($B$5*3.785)*(G74-F74),"Elevated")</f>
        <v>#DIV/0!</v>
      </c>
      <c r="J74" s="41" t="s">
        <v>59</v>
      </c>
      <c r="K74" s="47" t="e">
        <f>IF(H74&lt;0,-($B$5*3.785)*(G74-F74)/100000*1000,"None Required")</f>
        <v>#DIV/0!</v>
      </c>
      <c r="L74" s="47" t="e">
        <f>IF(H74&lt;0,-($B$5*3.785)*(G74-F74)/100000*1000*20,"None Required")</f>
        <v>#DIV/0!</v>
      </c>
      <c r="M74" s="47"/>
      <c r="N74" s="48" t="e">
        <f>IF(H74&lt;0,-($B$5*3.785)*(G74-F74)/100000*1000/7*1.05,($B$5*3.785)*(G74-F74)/100000*1000/7*1.05)</f>
        <v>#DIV/0!</v>
      </c>
      <c r="O74" s="48" t="e">
        <f>ROUNDUP(N74/0.05,1)</f>
        <v>#DIV/0!</v>
      </c>
    </row>
    <row r="75" spans="1:20" ht="11" customHeight="1">
      <c r="A75" s="69"/>
      <c r="B75" s="29"/>
      <c r="C75" s="26"/>
      <c r="D75" s="20"/>
      <c r="E75" s="20"/>
      <c r="F75" s="58"/>
      <c r="G75" s="58"/>
      <c r="H75" s="64"/>
      <c r="I75" s="23"/>
      <c r="J75" s="83"/>
      <c r="K75" s="33"/>
      <c r="L75" s="33"/>
      <c r="M75" s="33"/>
      <c r="N75" s="37"/>
      <c r="O75" s="37"/>
    </row>
    <row r="76" spans="1:20" ht="11" customHeight="1">
      <c r="A76" s="67" t="s">
        <v>116</v>
      </c>
      <c r="B76" s="39" t="s">
        <v>34</v>
      </c>
      <c r="C76" s="68">
        <f>'Input Values'!C65</f>
        <v>0</v>
      </c>
      <c r="D76" s="40" t="s">
        <v>142</v>
      </c>
      <c r="E76" s="40"/>
      <c r="F76" s="57">
        <v>1.226E-5</v>
      </c>
      <c r="G76" s="57">
        <f>($G$9*1000)/$F$87*F76</f>
        <v>0</v>
      </c>
      <c r="H76" s="63" t="e">
        <f t="shared" si="0"/>
        <v>#DIV/0!</v>
      </c>
      <c r="I76" s="42" t="e">
        <f>IF(H76&lt;0,-($B$5*3.785)*(G76-F76),"Elevated")</f>
        <v>#DIV/0!</v>
      </c>
      <c r="J76" s="41" t="s">
        <v>42</v>
      </c>
      <c r="P76" s="97" t="s">
        <v>84</v>
      </c>
      <c r="Q76" s="98"/>
      <c r="R76" s="98"/>
      <c r="S76" s="98"/>
      <c r="T76" s="98"/>
    </row>
    <row r="77" spans="1:20" ht="11" customHeight="1">
      <c r="A77" s="69"/>
      <c r="B77" s="29"/>
      <c r="C77" s="26"/>
      <c r="D77" s="20"/>
      <c r="E77" s="20"/>
      <c r="F77" s="58"/>
      <c r="G77" s="58"/>
      <c r="H77" s="64"/>
      <c r="I77" s="23"/>
      <c r="J77" s="83"/>
      <c r="K77" s="34"/>
      <c r="L77" s="35"/>
      <c r="M77" s="35"/>
      <c r="N77" s="35"/>
      <c r="O77" s="35"/>
    </row>
    <row r="78" spans="1:20" ht="11" customHeight="1">
      <c r="A78" s="67" t="s">
        <v>117</v>
      </c>
      <c r="B78" s="39" t="s">
        <v>31</v>
      </c>
      <c r="C78" s="68">
        <f>'Input Values'!C66</f>
        <v>0</v>
      </c>
      <c r="D78" s="40" t="s">
        <v>142</v>
      </c>
      <c r="E78" s="40"/>
      <c r="F78" s="57">
        <v>3.094E-3</v>
      </c>
      <c r="G78" s="57">
        <f>($G$9*1000)/$F$87*F78</f>
        <v>0</v>
      </c>
      <c r="H78" s="63" t="e">
        <f t="shared" si="0"/>
        <v>#DIV/0!</v>
      </c>
      <c r="I78" s="42" t="e">
        <f>IF(H78&lt;0,-($B$5*3.785)*(G78-F78),"Elevated")</f>
        <v>#DIV/0!</v>
      </c>
      <c r="J78" s="41" t="s">
        <v>42</v>
      </c>
      <c r="P78" s="97" t="s">
        <v>83</v>
      </c>
      <c r="Q78" s="98"/>
      <c r="R78" s="98"/>
      <c r="S78" s="98"/>
      <c r="T78" s="98"/>
    </row>
    <row r="79" spans="1:20" ht="11" customHeight="1">
      <c r="A79" s="69"/>
      <c r="B79" s="29"/>
      <c r="C79" s="26"/>
      <c r="D79" s="20"/>
      <c r="E79" s="20"/>
      <c r="F79" s="58"/>
      <c r="G79" s="58"/>
      <c r="H79" s="64"/>
      <c r="I79" s="23"/>
      <c r="J79" s="83"/>
      <c r="K79" s="34"/>
      <c r="L79" s="35"/>
      <c r="M79" s="35"/>
      <c r="N79" s="35"/>
      <c r="O79" s="35"/>
    </row>
    <row r="80" spans="1:20" ht="11" customHeight="1">
      <c r="A80" s="67" t="s">
        <v>118</v>
      </c>
      <c r="B80" s="39" t="s">
        <v>32</v>
      </c>
      <c r="C80" s="68">
        <f>'Input Values'!C67</f>
        <v>0</v>
      </c>
      <c r="D80" s="40" t="s">
        <v>142</v>
      </c>
      <c r="E80" s="40"/>
      <c r="F80" s="57">
        <v>2E-3</v>
      </c>
      <c r="G80" s="57">
        <f>($G$9*1000)/$F$87*F80</f>
        <v>0</v>
      </c>
      <c r="H80" s="63" t="e">
        <f t="shared" si="0"/>
        <v>#DIV/0!</v>
      </c>
      <c r="I80" s="42" t="e">
        <f>IF(H80&lt;0,-($B$5*3.785)*(G80-F80),"Elevated")</f>
        <v>#DIV/0!</v>
      </c>
      <c r="J80" s="41" t="s">
        <v>60</v>
      </c>
      <c r="K80" s="47" t="e">
        <f>IF(H80&lt;0,-($B$5*3.785)*(G80-F80)/1000*1000,"None Required")</f>
        <v>#DIV/0!</v>
      </c>
      <c r="L80" s="47" t="e">
        <f>IF(H80&lt;0,-($B$5*3.785)*(G80-F80)/1000*1000*20,"None Required")</f>
        <v>#DIV/0!</v>
      </c>
      <c r="M80" s="47"/>
      <c r="N80" s="48" t="e">
        <f>IF(H80&lt;0,-($B$5*3.785)*(G80-F80)/1000*1000/7*1.05,($B$5*3.785)*(G80-F80)/1000*1000/7*1.05)</f>
        <v>#DIV/0!</v>
      </c>
      <c r="O80" s="48" t="e">
        <f>ROUNDUP(N80/0.05,1)</f>
        <v>#DIV/0!</v>
      </c>
    </row>
    <row r="81" spans="1:20" ht="11" customHeight="1">
      <c r="A81" s="69"/>
      <c r="B81" s="29"/>
      <c r="C81" s="26"/>
      <c r="D81" s="20"/>
      <c r="E81" s="20"/>
      <c r="F81" s="58"/>
      <c r="G81" s="58"/>
      <c r="H81" s="64"/>
      <c r="I81" s="23"/>
      <c r="J81" s="83"/>
      <c r="K81" s="33"/>
      <c r="L81" s="33"/>
      <c r="M81" s="33"/>
      <c r="N81" s="37"/>
      <c r="O81" s="37"/>
    </row>
    <row r="82" spans="1:20" ht="11" customHeight="1">
      <c r="A82" s="67" t="s">
        <v>119</v>
      </c>
      <c r="B82" s="39" t="s">
        <v>33</v>
      </c>
      <c r="C82" s="68">
        <f>'Input Values'!C68</f>
        <v>0</v>
      </c>
      <c r="D82" s="40" t="s">
        <v>142</v>
      </c>
      <c r="E82" s="40"/>
      <c r="F82" s="57">
        <v>3.925E-4</v>
      </c>
      <c r="G82" s="57">
        <f>($G$9*1000)/$F$87*F82</f>
        <v>0</v>
      </c>
      <c r="H82" s="63" t="e">
        <f t="shared" si="0"/>
        <v>#DIV/0!</v>
      </c>
      <c r="I82" s="42" t="e">
        <f>IF(H82&lt;0,-($B$5*3.785)*(G82-F82),"Elevated")</f>
        <v>#DIV/0!</v>
      </c>
      <c r="J82" s="41" t="s">
        <v>61</v>
      </c>
      <c r="K82" s="47" t="e">
        <f>IF(H82&lt;0,-($B$5*3.785)*(G82-F82)/1000*1000,"None Required")</f>
        <v>#DIV/0!</v>
      </c>
      <c r="L82" s="47" t="e">
        <f>IF(H82&lt;0,-($B$5*3.785)*(G82-F82)/1000*1000*20,"None Required")</f>
        <v>#DIV/0!</v>
      </c>
      <c r="M82" s="47"/>
      <c r="N82" s="48" t="e">
        <f>IF(H82&lt;0,-($B$5*3.785)*(G82-F82)/1000*1000/7*1.05,($B$5*3.785)*(G82-F82)/1000*1000/7*1.05)</f>
        <v>#DIV/0!</v>
      </c>
      <c r="O82" s="48" t="e">
        <f>ROUNDUP(N82/0.05,1)</f>
        <v>#DIV/0!</v>
      </c>
    </row>
    <row r="83" spans="1:20" ht="11" customHeight="1">
      <c r="A83" s="69"/>
      <c r="B83" s="29"/>
      <c r="C83" s="26"/>
      <c r="D83" s="20"/>
      <c r="E83" s="20"/>
      <c r="F83" s="58"/>
      <c r="G83" s="58"/>
      <c r="H83" s="64"/>
      <c r="I83" s="23"/>
      <c r="J83" s="83"/>
      <c r="K83" s="33"/>
      <c r="L83" s="33"/>
      <c r="M83" s="33"/>
      <c r="N83" s="37"/>
      <c r="O83" s="37"/>
    </row>
    <row r="84" spans="1:20" ht="11" customHeight="1">
      <c r="A84" s="49" t="s">
        <v>133</v>
      </c>
      <c r="B84" s="41"/>
      <c r="C84" s="52">
        <f t="shared" ref="C84" si="1">C68*((32.065+(4*15.9994))/32.065)</f>
        <v>0</v>
      </c>
      <c r="D84" s="40" t="s">
        <v>142</v>
      </c>
      <c r="E84" s="42"/>
      <c r="F84" s="59">
        <v>2712.4</v>
      </c>
      <c r="G84" s="57">
        <f t="shared" ref="G84" si="2">G68*((32.065+(4*15.9994))/32.065)</f>
        <v>0</v>
      </c>
      <c r="H84" s="63" t="e">
        <f t="shared" si="0"/>
        <v>#DIV/0!</v>
      </c>
      <c r="I84" s="53" t="e">
        <f>I24</f>
        <v>#DIV/0!</v>
      </c>
      <c r="J84" s="70"/>
      <c r="P84" s="93" t="s">
        <v>146</v>
      </c>
      <c r="Q84" s="93"/>
      <c r="R84" s="93"/>
      <c r="S84" s="93"/>
      <c r="T84" s="93"/>
    </row>
    <row r="85" spans="1:20" ht="11" customHeight="1">
      <c r="A85" s="49"/>
      <c r="B85" s="41"/>
      <c r="C85" s="52"/>
      <c r="D85" s="40"/>
      <c r="E85" s="42"/>
      <c r="F85" s="59"/>
      <c r="G85" s="57"/>
      <c r="H85" s="63"/>
      <c r="I85" s="53"/>
      <c r="J85" s="70"/>
      <c r="P85" s="94"/>
      <c r="Q85" s="94"/>
      <c r="R85" s="94"/>
      <c r="S85" s="94"/>
      <c r="T85" s="94"/>
    </row>
    <row r="86" spans="1:20" ht="11" customHeight="1">
      <c r="A86" s="24"/>
      <c r="B86" s="83"/>
      <c r="C86" s="25"/>
      <c r="D86" s="20"/>
      <c r="E86" s="23"/>
      <c r="F86" s="60"/>
      <c r="G86" s="58"/>
      <c r="H86" s="64"/>
      <c r="I86" s="38"/>
      <c r="K86" s="71"/>
      <c r="L86" s="71"/>
      <c r="M86" s="71"/>
      <c r="N86" s="71"/>
      <c r="O86" s="71"/>
    </row>
    <row r="87" spans="1:20" ht="11" customHeight="1">
      <c r="A87" s="24" t="s">
        <v>134</v>
      </c>
      <c r="B87" s="83"/>
      <c r="C87" s="25">
        <f>('Input Values'!C30/0.056)+SUM(C10:C84)-C68</f>
        <v>0</v>
      </c>
      <c r="D87" s="23" t="s">
        <v>142</v>
      </c>
      <c r="E87" s="23"/>
      <c r="F87" s="61">
        <f>('Input Values'!C30/0.056)+SUM(F10:F84)-F68</f>
        <v>35027.954165060612</v>
      </c>
      <c r="G87" s="61">
        <f>('Input Values'!C30/0.056)+SUM(G10:G84)-G68</f>
        <v>0</v>
      </c>
      <c r="H87" s="65"/>
    </row>
    <row r="88" spans="1:20" ht="11" customHeight="1">
      <c r="A88" s="24"/>
      <c r="B88" s="83"/>
      <c r="C88" s="25"/>
      <c r="D88" s="23"/>
      <c r="E88" s="23"/>
      <c r="F88" s="26"/>
      <c r="G88" s="27"/>
      <c r="H88" s="28"/>
    </row>
    <row r="89" spans="1:20" ht="11" customHeight="1">
      <c r="A89" s="24" t="s">
        <v>135</v>
      </c>
      <c r="B89" s="24"/>
      <c r="C89" s="25"/>
      <c r="D89" s="23"/>
      <c r="E89" s="23"/>
      <c r="F89" s="26"/>
      <c r="G89" s="27"/>
      <c r="H89" s="28"/>
    </row>
    <row r="90" spans="1:20" ht="11" customHeight="1">
      <c r="A90" s="24"/>
      <c r="B90" s="24"/>
      <c r="C90" s="25"/>
      <c r="D90" s="23"/>
      <c r="E90" s="23"/>
      <c r="F90" s="26"/>
      <c r="G90" s="27"/>
      <c r="H90" s="28"/>
    </row>
    <row r="91" spans="1:20" ht="11" customHeight="1">
      <c r="A91" s="13" t="s">
        <v>150</v>
      </c>
    </row>
    <row r="92" spans="1:20" ht="11" customHeight="1"/>
    <row r="93" spans="1:20" ht="11" customHeight="1">
      <c r="A93" s="13" t="s">
        <v>139</v>
      </c>
    </row>
    <row r="94" spans="1:20" ht="11" customHeight="1"/>
    <row r="95" spans="1:20" ht="11" customHeight="1">
      <c r="A95" s="13" t="s">
        <v>149</v>
      </c>
    </row>
  </sheetData>
  <sheetProtection password="F283" sheet="1" objects="1" scenarios="1" selectLockedCells="1" selectUnlockedCells="1"/>
  <mergeCells count="26">
    <mergeCell ref="B2:C2"/>
    <mergeCell ref="B3:C3"/>
    <mergeCell ref="B4:C4"/>
    <mergeCell ref="B5:C5"/>
    <mergeCell ref="P16:T16"/>
    <mergeCell ref="P20:T20"/>
    <mergeCell ref="F6:H6"/>
    <mergeCell ref="K8:L8"/>
    <mergeCell ref="N8:O8"/>
    <mergeCell ref="N2:P6"/>
    <mergeCell ref="P84:T85"/>
    <mergeCell ref="C9:D9"/>
    <mergeCell ref="P76:T76"/>
    <mergeCell ref="P78:T78"/>
    <mergeCell ref="P48:T48"/>
    <mergeCell ref="P52:T52"/>
    <mergeCell ref="P60:T60"/>
    <mergeCell ref="P64:T64"/>
    <mergeCell ref="P68:T68"/>
    <mergeCell ref="P28:T28"/>
    <mergeCell ref="P30:T30"/>
    <mergeCell ref="P36:T36"/>
    <mergeCell ref="P44:T44"/>
    <mergeCell ref="P10:T10"/>
    <mergeCell ref="P12:T12"/>
    <mergeCell ref="P18:T18"/>
  </mergeCells>
  <phoneticPr fontId="9" type="noConversion"/>
  <pageMargins left="0.75" right="0.75" top="1" bottom="1" header="0.5" footer="0.5"/>
  <pageSetup scale="62" orientation="portrait" horizontalDpi="4294967292" verticalDpi="4294967292"/>
  <colBreaks count="1" manualBreakCount="1">
    <brk id="13"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Input Values</vt:lpstr>
      <vt:lpstr>ICP Analysis Results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 Wood</dc:creator>
  <cp:keywords/>
  <dc:description/>
  <cp:lastModifiedBy>Marine Biogeochemist</cp:lastModifiedBy>
  <cp:lastPrinted>2022-03-17T18:20:23Z</cp:lastPrinted>
  <dcterms:created xsi:type="dcterms:W3CDTF">2021-09-04T21:38:30Z</dcterms:created>
  <dcterms:modified xsi:type="dcterms:W3CDTF">2022-11-23T16:57:19Z</dcterms:modified>
  <cp:category/>
</cp:coreProperties>
</file>